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205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REC_programs_detail!$A$1:$D$43</definedName>
    <definedName name="_xlnm.Print_Area" localSheetId="0">'Summary Load Customers '!$A$1:$I$25</definedName>
    <definedName name="_xlnm.Print_Area" localSheetId="1">Suppliers!$B$1:$F$58</definedName>
  </definedNames>
  <calcPr calcId="145621"/>
</workbook>
</file>

<file path=xl/calcChain.xml><?xml version="1.0" encoding="utf-8"?>
<calcChain xmlns="http://schemas.openxmlformats.org/spreadsheetml/2006/main">
  <c r="E34" i="6" l="1"/>
  <c r="E38" i="6"/>
  <c r="B21" i="5" l="1"/>
  <c r="B20" i="5" l="1"/>
  <c r="C21" i="5"/>
  <c r="B32" i="5" l="1"/>
  <c r="C20" i="5"/>
  <c r="C32" i="5" s="1"/>
  <c r="E45" i="6"/>
  <c r="E8" i="6"/>
  <c r="E9" i="6"/>
  <c r="E11" i="6"/>
  <c r="E12" i="6"/>
  <c r="E13" i="6"/>
  <c r="E15" i="6"/>
  <c r="E17" i="6"/>
  <c r="E18" i="6"/>
  <c r="E19" i="6"/>
  <c r="E20" i="6"/>
  <c r="E21" i="6"/>
  <c r="E23" i="6"/>
  <c r="E25" i="6"/>
  <c r="E26" i="6"/>
  <c r="E27" i="6"/>
  <c r="E29" i="6"/>
  <c r="E31" i="6"/>
  <c r="E32" i="6"/>
  <c r="E33" i="6"/>
  <c r="E35" i="6"/>
  <c r="E36" i="6"/>
  <c r="E37" i="6"/>
  <c r="E41" i="6"/>
  <c r="E43" i="6"/>
  <c r="E47" i="6"/>
  <c r="E48" i="6"/>
  <c r="E49" i="6"/>
  <c r="E50" i="6"/>
  <c r="E14" i="6"/>
  <c r="E16" i="6"/>
  <c r="E22" i="6"/>
  <c r="E30" i="6"/>
  <c r="E40" i="6"/>
  <c r="E44" i="6"/>
  <c r="E46" i="6"/>
  <c r="E42" i="6"/>
  <c r="E10" i="6"/>
  <c r="F10" i="6" s="1"/>
  <c r="E24" i="6"/>
  <c r="E28" i="6"/>
  <c r="F28" i="6" s="1"/>
  <c r="E39" i="6"/>
  <c r="C51" i="6"/>
  <c r="D51" i="6"/>
  <c r="A5" i="8"/>
  <c r="B28" i="5"/>
  <c r="B19" i="8" s="1"/>
  <c r="F25" i="8"/>
  <c r="F18" i="8"/>
  <c r="F11" i="8"/>
  <c r="A36" i="8"/>
  <c r="D7" i="5"/>
  <c r="D19" i="5" s="1"/>
  <c r="D31" i="5" s="1"/>
  <c r="D13" i="5"/>
  <c r="C19" i="5"/>
  <c r="D8" i="5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B33" i="5"/>
  <c r="A22" i="5"/>
  <c r="A28" i="5"/>
  <c r="A34" i="5"/>
  <c r="C18" i="5"/>
  <c r="C30" i="5" s="1"/>
  <c r="A9" i="6"/>
  <c r="A43" i="5"/>
  <c r="B58" i="6"/>
  <c r="H10" i="7"/>
  <c r="H11" i="7"/>
  <c r="A1" i="6"/>
  <c r="A1" i="5"/>
  <c r="C16" i="5"/>
  <c r="C10" i="5"/>
  <c r="B10" i="5"/>
  <c r="B16" i="5"/>
  <c r="A4" i="6"/>
  <c r="A4" i="5"/>
  <c r="A21" i="7"/>
  <c r="A20" i="7"/>
  <c r="D9" i="7"/>
  <c r="F9" i="7" s="1"/>
  <c r="H9" i="7" s="1"/>
  <c r="B12" i="7"/>
  <c r="C10" i="7" s="1"/>
  <c r="D12" i="7"/>
  <c r="E11" i="7" s="1"/>
  <c r="F12" i="7"/>
  <c r="G11" i="7" s="1"/>
  <c r="D18" i="7"/>
  <c r="F18" i="7" s="1"/>
  <c r="H18" i="7" s="1"/>
  <c r="A19" i="7"/>
  <c r="A16" i="5"/>
  <c r="C12" i="5"/>
  <c r="C25" i="5"/>
  <c r="D25" i="5"/>
  <c r="C31" i="5"/>
  <c r="C28" i="5"/>
  <c r="D19" i="8"/>
  <c r="D28" i="5" l="1"/>
  <c r="A37" i="5" s="1"/>
  <c r="D16" i="5"/>
  <c r="E19" i="8"/>
  <c r="D21" i="5"/>
  <c r="D33" i="5" s="1"/>
  <c r="D20" i="5"/>
  <c r="G19" i="7"/>
  <c r="H12" i="7"/>
  <c r="I10" i="7" s="1"/>
  <c r="A13" i="7" s="1"/>
  <c r="E19" i="7"/>
  <c r="H21" i="7"/>
  <c r="I19" i="7" s="1"/>
  <c r="A23" i="7" s="1"/>
  <c r="C20" i="7"/>
  <c r="B22" i="5"/>
  <c r="B12" i="8" s="1"/>
  <c r="B26" i="8" s="1"/>
  <c r="C26" i="8" s="1"/>
  <c r="C22" i="5"/>
  <c r="D12" i="8" s="1"/>
  <c r="E12" i="8" s="1"/>
  <c r="C33" i="5"/>
  <c r="C34" i="5" s="1"/>
  <c r="B34" i="5"/>
  <c r="D32" i="5"/>
  <c r="D22" i="5"/>
  <c r="A36" i="5" s="1"/>
  <c r="D10" i="5"/>
  <c r="C19" i="8"/>
  <c r="F19" i="8"/>
  <c r="E51" i="6"/>
  <c r="F38" i="6" s="1"/>
  <c r="G10" i="7"/>
  <c r="E10" i="7"/>
  <c r="C11" i="7"/>
  <c r="F26" i="6" l="1"/>
  <c r="F34" i="6"/>
  <c r="G19" i="8"/>
  <c r="A21" i="8" s="1"/>
  <c r="D34" i="5"/>
  <c r="A38" i="5" s="1"/>
  <c r="F12" i="8"/>
  <c r="C12" i="8"/>
  <c r="I11" i="7"/>
  <c r="A14" i="7" s="1"/>
  <c r="I20" i="7"/>
  <c r="A24" i="7" s="1"/>
  <c r="G12" i="8"/>
  <c r="A14" i="8" s="1"/>
  <c r="D26" i="8"/>
  <c r="E26" i="8" s="1"/>
  <c r="F50" i="6"/>
  <c r="F45" i="6"/>
  <c r="F15" i="6"/>
  <c r="F46" i="6"/>
  <c r="F49" i="6"/>
  <c r="F41" i="6"/>
  <c r="F24" i="6"/>
  <c r="F44" i="6"/>
  <c r="F35" i="6"/>
  <c r="F31" i="6"/>
  <c r="F36" i="6"/>
  <c r="F48" i="6"/>
  <c r="F16" i="6"/>
  <c r="F23" i="6"/>
  <c r="F20" i="6"/>
  <c r="F29" i="6"/>
  <c r="F21" i="6"/>
  <c r="F22" i="6"/>
  <c r="F33" i="6"/>
  <c r="F11" i="6"/>
  <c r="F47" i="6"/>
  <c r="F51" i="6"/>
  <c r="F27" i="6"/>
  <c r="F19" i="6"/>
  <c r="F40" i="6"/>
  <c r="F42" i="6"/>
  <c r="F14" i="6"/>
  <c r="F8" i="6"/>
  <c r="F32" i="6"/>
  <c r="F12" i="6"/>
  <c r="F25" i="6"/>
  <c r="F43" i="6"/>
  <c r="F30" i="6"/>
  <c r="F39" i="6"/>
  <c r="F13" i="6"/>
  <c r="F37" i="6"/>
  <c r="F9" i="6"/>
  <c r="F17" i="6"/>
  <c r="F18" i="6"/>
  <c r="F26" i="8" l="1"/>
  <c r="G26" i="8" s="1"/>
  <c r="A28" i="8" s="1"/>
</calcChain>
</file>

<file path=xl/sharedStrings.xml><?xml version="1.0" encoding="utf-8"?>
<sst xmlns="http://schemas.openxmlformats.org/spreadsheetml/2006/main" count="165" uniqueCount="100">
  <si>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</si>
  <si>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</si>
  <si>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</si>
  <si>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</si>
  <si>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</si>
  <si>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</si>
  <si>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</si>
  <si>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</si>
  <si>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</si>
  <si>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</si>
  <si>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</si>
  <si>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</si>
  <si>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</si>
  <si>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</si>
  <si>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</si>
  <si>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</si>
  <si>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</si>
  <si>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Direct Energy Service, LLC</t>
  </si>
  <si>
    <t>Gexa Energy Connecticut, LLC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</si>
  <si>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</si>
  <si>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</si>
  <si>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</si>
  <si>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</si>
  <si>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</si>
  <si>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</si>
  <si>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</si>
  <si>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Sempra Energy Solutions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</si>
  <si>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</si>
  <si>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</si>
  <si>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</si>
  <si>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</si>
  <si>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</si>
  <si>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</si>
  <si>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</si>
  <si>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N/A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</si>
  <si>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</si>
  <si>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</si>
  <si>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</si>
  <si>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</si>
  <si>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</si>
  <si>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</si>
  <si>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</si>
  <si>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</si>
  <si>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</si>
  <si>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</si>
  <si>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</si>
  <si>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</si>
  <si>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</si>
  <si>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</si>
  <si>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</si>
  <si>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</si>
  <si>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</si>
  <si>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</si>
  <si>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</si>
  <si>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</si>
  <si>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</si>
  <si>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</si>
  <si>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r>
      <t>Direct Energy Business, LLC</t>
    </r>
    <r>
      <rPr>
        <sz val="8"/>
        <rFont val="Arial"/>
        <family val="2"/>
      </rPr>
      <t xml:space="preserve"> (F/K/AStrategic)</t>
    </r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</si>
  <si>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</si>
  <si>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</si>
  <si>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</si>
  <si>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</si>
  <si>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</si>
  <si>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</si>
  <si>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</si>
  <si>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</si>
  <si>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</si>
  <si>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Dominion Energy Services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</si>
  <si>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</si>
  <si>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</si>
  <si>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</si>
  <si>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</si>
  <si>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</si>
  <si>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</si>
  <si>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</si>
  <si>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</si>
  <si>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</si>
  <si>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</si>
  <si>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</si>
  <si>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</si>
  <si>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</si>
  <si>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</si>
  <si>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customers support clean energy through a surcharge on their bill.</t>
    </r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</si>
  <si>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</si>
  <si>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</si>
  <si>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</si>
  <si>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</si>
  <si>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</si>
  <si>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</si>
  <si>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</si>
  <si>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Peoples Power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</si>
  <si>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</si>
  <si>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</si>
  <si>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</si>
  <si>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</si>
  <si>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</si>
  <si>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Data as of January 31, 2013</t>
  </si>
  <si>
    <t>Perigee Energy</t>
  </si>
  <si>
    <t>Reliant Energy</t>
  </si>
  <si>
    <t>Dated 02/19/2013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</si>
</sst>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27" t="s">
        <v>62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">
      <c r="A3" s="27" t="s">
        <v>43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">
      <c r="A5" s="26" t="s">
        <v>96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">
      <c r="A7" s="33" t="s">
        <v>46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">
      <c r="A8" s="3"/>
      <c r="B8" s="36" t="s">
        <v>47</v>
      </c>
      <c r="C8" s="37"/>
      <c r="D8" s="36" t="s">
        <v>8</v>
      </c>
      <c r="E8" s="38"/>
      <c r="F8" s="36" t="s">
        <v>9</v>
      </c>
      <c r="G8" s="39"/>
      <c r="H8" s="36" t="s">
        <v>49</v>
      </c>
      <c r="I8" s="38"/>
    </row>
    <row r="9" spans="1:9" ht="18" customHeight="1" x14ac:dyDescent="0.2">
      <c r="A9" s="41"/>
      <c r="B9" s="42" t="s">
        <v>11</v>
      </c>
      <c r="C9" s="43" t="s">
        <v>36</v>
      </c>
      <c r="D9" s="42" t="str">
        <f>B9</f>
        <v>MWh</v>
      </c>
      <c r="E9" s="43" t="s">
        <v>36</v>
      </c>
      <c r="F9" s="42" t="str">
        <f>D9</f>
        <v>MWh</v>
      </c>
      <c r="G9" s="43" t="s">
        <v>36</v>
      </c>
      <c r="H9" s="42" t="str">
        <f>F9</f>
        <v>MWh</v>
      </c>
      <c r="I9" s="43" t="s">
        <v>35</v>
      </c>
    </row>
    <row r="10" spans="1:9" ht="18" customHeight="1" x14ac:dyDescent="0.2">
      <c r="A10" s="44" t="s">
        <v>13</v>
      </c>
      <c r="B10" s="75">
        <v>117654</v>
      </c>
      <c r="C10" s="45">
        <f>IF(B10=0,0,B10/$B$12)</f>
        <v>0.54842679345546075</v>
      </c>
      <c r="D10" s="75">
        <v>119314</v>
      </c>
      <c r="E10" s="45">
        <f>IF(D10=0,0,D10/$D$12)</f>
        <v>0.75822318251143872</v>
      </c>
      <c r="F10" s="75">
        <v>108633</v>
      </c>
      <c r="G10" s="45">
        <f>IF(F10=0,0,F10/$F$12)</f>
        <v>0.95091911764705883</v>
      </c>
      <c r="H10" s="46">
        <f>IF(B10+D10+F10=0,0,B10+D10+F10)</f>
        <v>345601</v>
      </c>
      <c r="I10" s="45">
        <f>IF(H10=0,0,H10/$H$12)</f>
        <v>0.71092300413469645</v>
      </c>
    </row>
    <row r="11" spans="1:9" ht="18" customHeight="1" x14ac:dyDescent="0.2">
      <c r="A11" s="44" t="s">
        <v>15</v>
      </c>
      <c r="B11" s="76">
        <v>96876</v>
      </c>
      <c r="C11" s="45">
        <f>IF(B11=0,0,B11/$B$12)</f>
        <v>0.45157320654453925</v>
      </c>
      <c r="D11" s="76">
        <v>38046</v>
      </c>
      <c r="E11" s="45">
        <f>IF(D11=0,0,D11/$D$12)</f>
        <v>0.24177681748856125</v>
      </c>
      <c r="F11" s="76">
        <v>5607</v>
      </c>
      <c r="G11" s="45">
        <f>IF(F11=0,0,F11/$F$12)</f>
        <v>4.9080882352941176E-2</v>
      </c>
      <c r="H11" s="46">
        <f>IF(B11+D11+F11=0,0,B11+D11+F11)</f>
        <v>140529</v>
      </c>
      <c r="I11" s="45">
        <f>IF(H11=0,0,H11/$H$12)</f>
        <v>0.2890769958653035</v>
      </c>
    </row>
    <row r="12" spans="1:9" ht="18" customHeight="1" x14ac:dyDescent="0.2">
      <c r="A12" s="44" t="s">
        <v>16</v>
      </c>
      <c r="B12" s="47">
        <f>SUM(B10:B11)</f>
        <v>214530</v>
      </c>
      <c r="C12" s="48"/>
      <c r="D12" s="47">
        <f>SUM(D10:D11)</f>
        <v>157360</v>
      </c>
      <c r="E12" s="48"/>
      <c r="F12" s="47">
        <f>SUM(F10:F11)</f>
        <v>114240</v>
      </c>
      <c r="G12" s="48"/>
      <c r="H12" s="47">
        <f>IF(H10+H11=0,0,H10+H11)</f>
        <v>486130</v>
      </c>
      <c r="I12" s="49"/>
    </row>
    <row r="13" spans="1:9" ht="18" customHeight="1" x14ac:dyDescent="0.2">
      <c r="A13" s="112" t="str">
        <f>"As the above table shows, "&amp;TEXT(H10,"0,000")&amp; " MWh, or "&amp;TEXT(I10,"0.0%")&amp;" of UI's total load is served by electric suppliers"</f>
        <v>As the above table shows, 345,601 MWh, or 71.1%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140,529 MHh, or 28.9%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5" x14ac:dyDescent="0.25">
      <c r="G15" s="54"/>
      <c r="H15" s="32"/>
    </row>
    <row r="16" spans="1:9" ht="18" customHeight="1" x14ac:dyDescent="0.2">
      <c r="A16" s="33" t="s">
        <v>45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47</v>
      </c>
      <c r="C17" s="56"/>
      <c r="D17" s="36" t="s">
        <v>8</v>
      </c>
      <c r="E17" s="57"/>
      <c r="F17" s="36" t="s">
        <v>9</v>
      </c>
      <c r="G17" s="39"/>
      <c r="H17" s="36" t="s">
        <v>49</v>
      </c>
      <c r="I17" s="38"/>
    </row>
    <row r="18" spans="1:10" ht="18" customHeight="1" x14ac:dyDescent="0.2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D18</f>
        <v>Customers</v>
      </c>
      <c r="G18" s="43" t="s">
        <v>36</v>
      </c>
      <c r="H18" s="42" t="str">
        <f>F18</f>
        <v>Customers</v>
      </c>
      <c r="I18" s="43" t="s">
        <v>35</v>
      </c>
    </row>
    <row r="19" spans="1:10" ht="18" customHeight="1" x14ac:dyDescent="0.2">
      <c r="A19" s="44" t="str">
        <f>A10</f>
        <v>Suppliers</v>
      </c>
      <c r="B19" s="75">
        <v>146588</v>
      </c>
      <c r="C19" s="45">
        <f>IF(B19=0,0,B19/$B$21)</f>
        <v>0.4991062338909299</v>
      </c>
      <c r="D19" s="75">
        <v>22818</v>
      </c>
      <c r="E19" s="58">
        <f>IF(D19=0,0,D19/$D$21)</f>
        <v>0.59233684647733764</v>
      </c>
      <c r="F19" s="75">
        <v>250</v>
      </c>
      <c r="G19" s="45">
        <f>IF(F19=0,0,F19/$F$21)</f>
        <v>0.91575091575091572</v>
      </c>
      <c r="H19" s="46">
        <f>IF(B19+D19+F19=0,0,B19+D19+F19)</f>
        <v>169656</v>
      </c>
      <c r="I19" s="45">
        <f>IF(H19=0,0,H19/$H$21)</f>
        <v>0.51024974736538187</v>
      </c>
      <c r="J19" s="59"/>
    </row>
    <row r="20" spans="1:10" ht="18" customHeight="1" x14ac:dyDescent="0.2">
      <c r="A20" s="44" t="str">
        <f>A11</f>
        <v>UI</v>
      </c>
      <c r="B20" s="76">
        <v>147113</v>
      </c>
      <c r="C20" s="45">
        <f>IF(B20=0,0,B20/$B$21)</f>
        <v>0.5008937661090701</v>
      </c>
      <c r="D20" s="76">
        <v>15704</v>
      </c>
      <c r="E20" s="58">
        <f>IF(D20=0,0,D20/$D$21)</f>
        <v>0.40766315352266236</v>
      </c>
      <c r="F20" s="76">
        <v>23</v>
      </c>
      <c r="G20" s="45">
        <f>IF(F20=0,0,F20/$F$21)</f>
        <v>8.4249084249084255E-2</v>
      </c>
      <c r="H20" s="46">
        <f>IF(B20+D20+F20=0,0,B20+D20+F20)</f>
        <v>162840</v>
      </c>
      <c r="I20" s="45">
        <f>IF(H20=0,0,H20/$H$21)</f>
        <v>0.48975025263461819</v>
      </c>
    </row>
    <row r="21" spans="1:10" ht="18" customHeight="1" x14ac:dyDescent="0.2">
      <c r="A21" s="44" t="str">
        <f>A12</f>
        <v xml:space="preserve">     Total</v>
      </c>
      <c r="B21" s="47">
        <f>SUM(B19:B20)</f>
        <v>293701</v>
      </c>
      <c r="C21" s="60"/>
      <c r="D21" s="47">
        <f>SUM(D19:D20)</f>
        <v>38522</v>
      </c>
      <c r="E21" s="48"/>
      <c r="F21" s="47">
        <f>SUM(F19:F20)</f>
        <v>273</v>
      </c>
      <c r="G21" s="48"/>
      <c r="H21" s="47">
        <f>IF(H19+H20=0,0,H19+H20)</f>
        <v>332496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169,656 of UI's total customers, or 51.0%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162,840 or 49.0%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5" x14ac:dyDescent="0.2">
      <c r="A27" s="71" t="s">
        <v>44</v>
      </c>
    </row>
    <row r="28" spans="1:10" ht="13.5" x14ac:dyDescent="0.2">
      <c r="A28" s="71" t="s">
        <v>48</v>
      </c>
    </row>
    <row r="29" spans="1:10" ht="13.5" x14ac:dyDescent="0.2">
      <c r="A29" s="71" t="s">
        <v>87</v>
      </c>
    </row>
    <row r="30" spans="1:10" x14ac:dyDescent="0.2">
      <c r="A30" s="72" t="s">
        <v>33</v>
      </c>
    </row>
    <row r="31" spans="1:10" x14ac:dyDescent="0.2">
      <c r="A31" s="72" t="s">
        <v>40</v>
      </c>
    </row>
    <row r="34" spans="1:1" x14ac:dyDescent="0.2">
      <c r="A34" s="114" t="s">
        <v>99</v>
      </c>
    </row>
  </sheetData>
  <phoneticPr fontId="0" type="noConversion"/>
  <printOptions horizontalCentered="1"/>
  <pageMargins left="0.5" right="0.5" top="0.5" bottom="0.25" header="0" footer="0"/>
  <pageSetup scale="79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showZeros="0" zoomScaleNormal="100" workbookViewId="0"/>
  </sheetViews>
  <sheetFormatPr defaultColWidth="9.140625" defaultRowHeight="12.75" x14ac:dyDescent="0.2"/>
  <cols>
    <col min="1" max="1" width="4.42578125" style="1" customWidth="1"/>
    <col min="2" max="2" width="37.42578125" style="1" bestFit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1" t="str">
        <f>'Summary Load Customers '!A5</f>
        <v>Data as of January 31, 2013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">
      <c r="A5" s="18"/>
      <c r="B5" s="7"/>
      <c r="C5" s="19"/>
      <c r="D5" s="19"/>
      <c r="E5" s="13"/>
      <c r="F5" s="13"/>
    </row>
    <row r="6" spans="1:11" s="10" customFormat="1" ht="18" customHeight="1" x14ac:dyDescent="0.2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5.5" x14ac:dyDescent="0.2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41</v>
      </c>
    </row>
    <row r="8" spans="1:11" ht="14.25" customHeight="1" x14ac:dyDescent="0.2">
      <c r="A8" s="23">
        <v>1</v>
      </c>
      <c r="B8" s="24" t="s">
        <v>92</v>
      </c>
      <c r="C8" s="78">
        <v>2649</v>
      </c>
      <c r="D8" s="78">
        <v>312</v>
      </c>
      <c r="E8" s="23">
        <f>IF(SUM(C8:D8)=0,0,SUM(C8:D8))</f>
        <v>2961</v>
      </c>
      <c r="F8" s="25">
        <f t="shared" ref="F8:F50" si="0">IF(E8=0,"",E8/$E$51)</f>
        <v>1.7452963644079784E-2</v>
      </c>
    </row>
    <row r="9" spans="1:11" ht="14.25" customHeight="1" x14ac:dyDescent="0.2">
      <c r="A9" s="23">
        <f>A8+1</f>
        <v>2</v>
      </c>
      <c r="B9" s="24" t="s">
        <v>59</v>
      </c>
      <c r="C9" s="78">
        <v>4495</v>
      </c>
      <c r="D9" s="78">
        <v>130</v>
      </c>
      <c r="E9" s="23">
        <f t="shared" ref="E9:E50" si="1">IF(SUM(C9:D9)=0,0,SUM(C9:D9))</f>
        <v>4625</v>
      </c>
      <c r="F9" s="25">
        <f t="shared" si="0"/>
        <v>2.7261045881077004E-2</v>
      </c>
    </row>
    <row r="10" spans="1:11" ht="14.25" customHeight="1" x14ac:dyDescent="0.2">
      <c r="A10" s="23">
        <v>3</v>
      </c>
      <c r="B10" s="24" t="s">
        <v>58</v>
      </c>
      <c r="C10" s="78"/>
      <c r="D10" s="78">
        <v>0</v>
      </c>
      <c r="E10" s="23">
        <f t="shared" si="1"/>
        <v>0</v>
      </c>
      <c r="F10" s="25" t="str">
        <f t="shared" si="0"/>
        <v/>
      </c>
    </row>
    <row r="11" spans="1:11" ht="14.25" customHeight="1" x14ac:dyDescent="0.2">
      <c r="A11" s="23">
        <v>4</v>
      </c>
      <c r="B11" s="24" t="s">
        <v>10</v>
      </c>
      <c r="C11" s="78">
        <v>3171</v>
      </c>
      <c r="D11" s="78">
        <v>47</v>
      </c>
      <c r="E11" s="23">
        <f t="shared" si="1"/>
        <v>3218</v>
      </c>
      <c r="F11" s="25">
        <f t="shared" si="0"/>
        <v>1.8967793653039092E-2</v>
      </c>
    </row>
    <row r="12" spans="1:11" ht="14.25" customHeight="1" x14ac:dyDescent="0.2">
      <c r="A12" s="23">
        <v>5</v>
      </c>
      <c r="B12" s="24" t="s">
        <v>95</v>
      </c>
      <c r="C12" s="78">
        <v>1120</v>
      </c>
      <c r="D12" s="78">
        <v>21</v>
      </c>
      <c r="E12" s="23">
        <f t="shared" si="1"/>
        <v>1141</v>
      </c>
      <c r="F12" s="25">
        <f t="shared" si="0"/>
        <v>6.7253736973640777E-3</v>
      </c>
    </row>
    <row r="13" spans="1:11" ht="14.25" customHeight="1" x14ac:dyDescent="0.2">
      <c r="A13" s="23">
        <v>6</v>
      </c>
      <c r="B13" s="24" t="s">
        <v>12</v>
      </c>
      <c r="C13" s="78">
        <v>8753</v>
      </c>
      <c r="D13" s="78">
        <v>1391</v>
      </c>
      <c r="E13" s="23">
        <f t="shared" si="1"/>
        <v>10144</v>
      </c>
      <c r="F13" s="25">
        <f t="shared" si="0"/>
        <v>5.9791578252463812E-2</v>
      </c>
    </row>
    <row r="14" spans="1:11" ht="14.25" customHeight="1" x14ac:dyDescent="0.2">
      <c r="A14" s="23">
        <v>7</v>
      </c>
      <c r="B14" s="24" t="s">
        <v>14</v>
      </c>
      <c r="C14" s="78">
        <v>441</v>
      </c>
      <c r="D14" s="78">
        <v>1318</v>
      </c>
      <c r="E14" s="23">
        <f t="shared" si="1"/>
        <v>1759</v>
      </c>
      <c r="F14" s="25">
        <f t="shared" si="0"/>
        <v>1.0368038855095015E-2</v>
      </c>
    </row>
    <row r="15" spans="1:11" ht="14.25" customHeight="1" x14ac:dyDescent="0.2">
      <c r="A15" s="23">
        <v>8</v>
      </c>
      <c r="B15" s="24" t="s">
        <v>91</v>
      </c>
      <c r="C15" s="78">
        <v>279</v>
      </c>
      <c r="D15" s="78">
        <v>93</v>
      </c>
      <c r="E15" s="23">
        <f t="shared" si="1"/>
        <v>372</v>
      </c>
      <c r="F15" s="25">
        <f t="shared" si="0"/>
        <v>2.1926722308671666E-3</v>
      </c>
    </row>
    <row r="16" spans="1:11" ht="14.25" customHeight="1" x14ac:dyDescent="0.2">
      <c r="A16" s="23">
        <v>9</v>
      </c>
      <c r="B16" s="24" t="s">
        <v>57</v>
      </c>
      <c r="C16" s="78">
        <v>48</v>
      </c>
      <c r="D16" s="78">
        <v>1207</v>
      </c>
      <c r="E16" s="23">
        <f t="shared" si="1"/>
        <v>1255</v>
      </c>
      <c r="F16" s="25">
        <f t="shared" si="0"/>
        <v>7.3973216390814354E-3</v>
      </c>
    </row>
    <row r="17" spans="1:6" ht="14.25" customHeight="1" x14ac:dyDescent="0.2">
      <c r="A17" s="23">
        <v>10</v>
      </c>
      <c r="B17" s="24" t="s">
        <v>17</v>
      </c>
      <c r="C17" s="78">
        <v>18491</v>
      </c>
      <c r="D17" s="78">
        <v>3807</v>
      </c>
      <c r="E17" s="23">
        <f t="shared" si="1"/>
        <v>22298</v>
      </c>
      <c r="F17" s="25">
        <f t="shared" si="0"/>
        <v>0.13143065968783893</v>
      </c>
    </row>
    <row r="18" spans="1:6" ht="14.25" customHeight="1" x14ac:dyDescent="0.2">
      <c r="A18" s="23">
        <v>11</v>
      </c>
      <c r="B18" s="79" t="s">
        <v>54</v>
      </c>
      <c r="C18" s="78">
        <v>6586</v>
      </c>
      <c r="D18" s="78">
        <v>1254</v>
      </c>
      <c r="E18" s="23">
        <f t="shared" si="1"/>
        <v>7840</v>
      </c>
      <c r="F18" s="25">
        <f t="shared" si="0"/>
        <v>4.6211156693544586E-2</v>
      </c>
    </row>
    <row r="19" spans="1:6" ht="14.25" customHeight="1" x14ac:dyDescent="0.2">
      <c r="A19" s="23">
        <v>12</v>
      </c>
      <c r="B19" s="24" t="s">
        <v>67</v>
      </c>
      <c r="C19" s="78">
        <v>13309</v>
      </c>
      <c r="D19" s="78">
        <v>1076</v>
      </c>
      <c r="E19" s="23">
        <f t="shared" si="1"/>
        <v>14385</v>
      </c>
      <c r="F19" s="25">
        <f t="shared" si="0"/>
        <v>8.4789220540387608E-2</v>
      </c>
    </row>
    <row r="20" spans="1:6" ht="14.25" customHeight="1" x14ac:dyDescent="0.2">
      <c r="A20" s="23">
        <v>13</v>
      </c>
      <c r="B20" s="79" t="s">
        <v>50</v>
      </c>
      <c r="C20" s="78">
        <v>6665</v>
      </c>
      <c r="D20" s="78">
        <v>750</v>
      </c>
      <c r="E20" s="23">
        <f t="shared" si="1"/>
        <v>7415</v>
      </c>
      <c r="F20" s="25">
        <f t="shared" si="0"/>
        <v>4.3706087612580755E-2</v>
      </c>
    </row>
    <row r="21" spans="1:6" ht="14.25" customHeight="1" x14ac:dyDescent="0.2">
      <c r="A21" s="23">
        <v>14</v>
      </c>
      <c r="B21" s="24" t="s">
        <v>18</v>
      </c>
      <c r="C21" s="78">
        <v>175</v>
      </c>
      <c r="D21" s="78">
        <v>1051</v>
      </c>
      <c r="E21" s="23">
        <f t="shared" si="1"/>
        <v>1226</v>
      </c>
      <c r="F21" s="25">
        <f t="shared" si="0"/>
        <v>7.2263875135568445E-3</v>
      </c>
    </row>
    <row r="22" spans="1:6" ht="14.25" customHeight="1" x14ac:dyDescent="0.2">
      <c r="A22" s="23">
        <v>15</v>
      </c>
      <c r="B22" s="24" t="s">
        <v>19</v>
      </c>
      <c r="C22" s="78">
        <v>24</v>
      </c>
      <c r="D22" s="78">
        <v>102</v>
      </c>
      <c r="E22" s="23">
        <f t="shared" si="1"/>
        <v>126</v>
      </c>
      <c r="F22" s="25">
        <f t="shared" si="0"/>
        <v>7.4267930400339515E-4</v>
      </c>
    </row>
    <row r="23" spans="1:6" ht="14.25" customHeight="1" x14ac:dyDescent="0.2">
      <c r="A23" s="23">
        <v>16</v>
      </c>
      <c r="B23" s="24" t="s">
        <v>66</v>
      </c>
      <c r="C23" s="78">
        <v>80</v>
      </c>
      <c r="D23" s="78">
        <v>37</v>
      </c>
      <c r="E23" s="23">
        <f t="shared" si="1"/>
        <v>117</v>
      </c>
      <c r="F23" s="25">
        <f t="shared" si="0"/>
        <v>6.8963078228886693E-4</v>
      </c>
    </row>
    <row r="24" spans="1:6" ht="14.25" customHeight="1" x14ac:dyDescent="0.2">
      <c r="A24" s="23">
        <v>17</v>
      </c>
      <c r="B24" s="24" t="s">
        <v>20</v>
      </c>
      <c r="C24" s="78">
        <v>48</v>
      </c>
      <c r="D24" s="78">
        <v>502</v>
      </c>
      <c r="E24" s="23">
        <f t="shared" si="1"/>
        <v>550</v>
      </c>
      <c r="F24" s="25">
        <f t="shared" si="0"/>
        <v>3.2418541047767248E-3</v>
      </c>
    </row>
    <row r="25" spans="1:6" ht="14.25" customHeight="1" x14ac:dyDescent="0.2">
      <c r="A25" s="23">
        <v>18</v>
      </c>
      <c r="B25" s="24" t="s">
        <v>65</v>
      </c>
      <c r="C25" s="78">
        <v>1285</v>
      </c>
      <c r="D25" s="78">
        <v>48</v>
      </c>
      <c r="E25" s="23">
        <f t="shared" si="1"/>
        <v>1333</v>
      </c>
      <c r="F25" s="25">
        <f t="shared" si="0"/>
        <v>7.8570754939406798E-3</v>
      </c>
    </row>
    <row r="26" spans="1:6" ht="14.25" customHeight="1" x14ac:dyDescent="0.2">
      <c r="A26" s="23">
        <v>19</v>
      </c>
      <c r="B26" s="24" t="s">
        <v>85</v>
      </c>
      <c r="C26" s="78">
        <v>837</v>
      </c>
      <c r="D26" s="78">
        <v>34</v>
      </c>
      <c r="E26" s="23">
        <f>IF(SUM(C26:D26)=0,0,SUM(C26:D26))</f>
        <v>871</v>
      </c>
      <c r="F26" s="25">
        <f t="shared" si="0"/>
        <v>5.1339180459282312E-3</v>
      </c>
    </row>
    <row r="27" spans="1:6" ht="14.25" customHeight="1" x14ac:dyDescent="0.2">
      <c r="A27" s="23">
        <v>20</v>
      </c>
      <c r="B27" s="24" t="s">
        <v>21</v>
      </c>
      <c r="C27" s="78">
        <v>217</v>
      </c>
      <c r="D27" s="78">
        <v>1645</v>
      </c>
      <c r="E27" s="23">
        <f t="shared" si="1"/>
        <v>1862</v>
      </c>
      <c r="F27" s="25">
        <f t="shared" si="0"/>
        <v>1.097514971471684E-2</v>
      </c>
    </row>
    <row r="28" spans="1:6" ht="14.25" customHeight="1" x14ac:dyDescent="0.2">
      <c r="A28" s="23">
        <v>21</v>
      </c>
      <c r="B28" s="24" t="s">
        <v>22</v>
      </c>
      <c r="C28" s="78">
        <v>0</v>
      </c>
      <c r="D28" s="78"/>
      <c r="E28" s="23">
        <f t="shared" si="1"/>
        <v>0</v>
      </c>
      <c r="F28" s="25" t="str">
        <f t="shared" si="0"/>
        <v/>
      </c>
    </row>
    <row r="29" spans="1:6" ht="14.25" customHeight="1" x14ac:dyDescent="0.2">
      <c r="A29" s="23">
        <v>22</v>
      </c>
      <c r="B29" s="24" t="s">
        <v>23</v>
      </c>
      <c r="C29" s="78">
        <v>22</v>
      </c>
      <c r="D29" s="78">
        <v>477</v>
      </c>
      <c r="E29" s="23">
        <f t="shared" si="1"/>
        <v>499</v>
      </c>
      <c r="F29" s="25">
        <f t="shared" si="0"/>
        <v>2.9412458150610645E-3</v>
      </c>
    </row>
    <row r="30" spans="1:6" ht="14.25" customHeight="1" x14ac:dyDescent="0.2">
      <c r="A30" s="23">
        <v>23</v>
      </c>
      <c r="B30" s="24" t="s">
        <v>86</v>
      </c>
      <c r="C30" s="78">
        <v>0</v>
      </c>
      <c r="D30" s="78">
        <v>36</v>
      </c>
      <c r="E30" s="23">
        <f>IF(SUM(C30:D30)=0,0,SUM(C30:D30))</f>
        <v>36</v>
      </c>
      <c r="F30" s="25">
        <f t="shared" si="0"/>
        <v>2.121940868581129E-4</v>
      </c>
    </row>
    <row r="31" spans="1:6" ht="14.25" customHeight="1" x14ac:dyDescent="0.2">
      <c r="A31" s="23">
        <v>24</v>
      </c>
      <c r="B31" s="24" t="s">
        <v>94</v>
      </c>
      <c r="C31" s="78">
        <v>12920</v>
      </c>
      <c r="D31" s="78">
        <v>436</v>
      </c>
      <c r="E31" s="23">
        <f t="shared" si="1"/>
        <v>13356</v>
      </c>
      <c r="F31" s="25">
        <f t="shared" si="0"/>
        <v>7.8724006224359877E-2</v>
      </c>
    </row>
    <row r="32" spans="1:6" ht="14.25" customHeight="1" x14ac:dyDescent="0.2">
      <c r="A32" s="23">
        <v>25</v>
      </c>
      <c r="B32" s="24" t="s">
        <v>55</v>
      </c>
      <c r="C32" s="78">
        <v>18767</v>
      </c>
      <c r="D32" s="78">
        <v>730</v>
      </c>
      <c r="E32" s="23">
        <f t="shared" si="1"/>
        <v>19497</v>
      </c>
      <c r="F32" s="25">
        <f t="shared" si="0"/>
        <v>0.11492078087423964</v>
      </c>
    </row>
    <row r="33" spans="1:6" ht="14.25" customHeight="1" x14ac:dyDescent="0.2">
      <c r="A33" s="23">
        <v>26</v>
      </c>
      <c r="B33" s="24" t="s">
        <v>64</v>
      </c>
      <c r="C33" s="78">
        <v>1997</v>
      </c>
      <c r="D33" s="78">
        <v>9</v>
      </c>
      <c r="E33" s="23">
        <f>IF(SUM(C33:D33)=0,0,SUM(C33:D33))</f>
        <v>2006</v>
      </c>
      <c r="F33" s="25">
        <f t="shared" si="0"/>
        <v>1.1823926062149291E-2</v>
      </c>
    </row>
    <row r="34" spans="1:6" ht="14.25" customHeight="1" x14ac:dyDescent="0.2">
      <c r="A34" s="23">
        <v>27</v>
      </c>
      <c r="B34" s="115" t="s">
        <v>97</v>
      </c>
      <c r="C34" s="78">
        <v>5</v>
      </c>
      <c r="D34" s="78"/>
      <c r="E34" s="23">
        <f>IF(SUM(C34:D34)=0,0,SUM(C34:D34))</f>
        <v>5</v>
      </c>
      <c r="F34" s="25">
        <f t="shared" ref="F34" si="2">IF(E34=0,"",E34/$E$51)</f>
        <v>2.9471400952515678E-5</v>
      </c>
    </row>
    <row r="35" spans="1:6" ht="14.25" customHeight="1" x14ac:dyDescent="0.2">
      <c r="A35" s="23">
        <v>28</v>
      </c>
      <c r="B35" s="24" t="s">
        <v>90</v>
      </c>
      <c r="C35" s="78">
        <v>43</v>
      </c>
      <c r="D35" s="78">
        <v>10</v>
      </c>
      <c r="E35" s="23">
        <f>IF(SUM(C35:D35)=0,0,SUM(C35:D35))</f>
        <v>53</v>
      </c>
      <c r="F35" s="25">
        <f t="shared" si="0"/>
        <v>3.1239685009666618E-4</v>
      </c>
    </row>
    <row r="36" spans="1:6" ht="14.25" customHeight="1" x14ac:dyDescent="0.2">
      <c r="A36" s="23">
        <v>29</v>
      </c>
      <c r="B36" s="24" t="s">
        <v>25</v>
      </c>
      <c r="C36" s="78">
        <v>21037</v>
      </c>
      <c r="D36" s="78">
        <v>1454</v>
      </c>
      <c r="E36" s="23">
        <f t="shared" si="1"/>
        <v>22491</v>
      </c>
      <c r="F36" s="25">
        <f t="shared" si="0"/>
        <v>0.13256825576460601</v>
      </c>
    </row>
    <row r="37" spans="1:6" ht="14.25" customHeight="1" x14ac:dyDescent="0.2">
      <c r="A37" s="23">
        <v>30</v>
      </c>
      <c r="B37" s="24" t="s">
        <v>61</v>
      </c>
      <c r="C37" s="78">
        <v>839</v>
      </c>
      <c r="D37" s="78">
        <v>9</v>
      </c>
      <c r="E37" s="23">
        <f t="shared" si="1"/>
        <v>848</v>
      </c>
      <c r="F37" s="25">
        <f t="shared" si="0"/>
        <v>4.9983496015466589E-3</v>
      </c>
    </row>
    <row r="38" spans="1:6" ht="14.25" customHeight="1" x14ac:dyDescent="0.2">
      <c r="A38" s="23">
        <v>31</v>
      </c>
      <c r="B38" s="115" t="s">
        <v>98</v>
      </c>
      <c r="C38" s="78">
        <v>1</v>
      </c>
      <c r="D38" s="78">
        <v>46</v>
      </c>
      <c r="E38" s="23">
        <f t="shared" ref="E38" si="3">IF(SUM(C38:D38)=0,0,SUM(C38:D38))</f>
        <v>47</v>
      </c>
      <c r="F38" s="25">
        <f t="shared" ref="F38" si="4">IF(E38=0,"",E38/$E$51)</f>
        <v>2.7703116895364736E-4</v>
      </c>
    </row>
    <row r="39" spans="1:6" ht="14.25" customHeight="1" x14ac:dyDescent="0.2">
      <c r="A39" s="23">
        <v>32</v>
      </c>
      <c r="B39" s="82" t="s">
        <v>53</v>
      </c>
      <c r="C39" s="78">
        <v>0</v>
      </c>
      <c r="D39" s="78">
        <v>0</v>
      </c>
      <c r="E39" s="23">
        <f t="shared" si="1"/>
        <v>0</v>
      </c>
      <c r="F39" s="25" t="str">
        <f t="shared" si="0"/>
        <v/>
      </c>
    </row>
    <row r="40" spans="1:6" ht="14.25" customHeight="1" x14ac:dyDescent="0.2">
      <c r="A40" s="23">
        <v>33</v>
      </c>
      <c r="B40" s="24" t="s">
        <v>26</v>
      </c>
      <c r="C40" s="78">
        <v>24</v>
      </c>
      <c r="D40" s="78">
        <v>2194</v>
      </c>
      <c r="E40" s="23">
        <f t="shared" si="1"/>
        <v>2218</v>
      </c>
      <c r="F40" s="25">
        <f t="shared" si="0"/>
        <v>1.3073513462535956E-2</v>
      </c>
    </row>
    <row r="41" spans="1:6" ht="14.25" customHeight="1" x14ac:dyDescent="0.2">
      <c r="A41" s="23">
        <v>34</v>
      </c>
      <c r="B41" s="24" t="s">
        <v>63</v>
      </c>
      <c r="C41" s="78">
        <v>1662</v>
      </c>
      <c r="D41" s="78">
        <v>224</v>
      </c>
      <c r="E41" s="23">
        <f>IF(SUM(C41:D41)=0,0,SUM(C41:D41))</f>
        <v>1886</v>
      </c>
      <c r="F41" s="25">
        <f t="shared" si="0"/>
        <v>1.1116612439288914E-2</v>
      </c>
    </row>
    <row r="42" spans="1:6" ht="14.25" customHeight="1" x14ac:dyDescent="0.2">
      <c r="A42" s="23">
        <v>35</v>
      </c>
      <c r="B42" s="24" t="s">
        <v>60</v>
      </c>
      <c r="C42" s="78">
        <v>0</v>
      </c>
      <c r="D42" s="78">
        <v>1</v>
      </c>
      <c r="E42" s="23">
        <f t="shared" si="1"/>
        <v>1</v>
      </c>
      <c r="F42" s="25">
        <f t="shared" si="0"/>
        <v>5.8942801905031358E-6</v>
      </c>
    </row>
    <row r="43" spans="1:6" x14ac:dyDescent="0.2">
      <c r="A43" s="23">
        <v>36</v>
      </c>
      <c r="B43" s="24" t="s">
        <v>56</v>
      </c>
      <c r="C43" s="78">
        <v>10281</v>
      </c>
      <c r="D43" s="78">
        <v>722</v>
      </c>
      <c r="E43" s="23">
        <f t="shared" si="1"/>
        <v>11003</v>
      </c>
      <c r="F43" s="25">
        <f t="shared" si="0"/>
        <v>6.4854764936106007E-2</v>
      </c>
    </row>
    <row r="44" spans="1:6" x14ac:dyDescent="0.2">
      <c r="A44" s="23">
        <v>37</v>
      </c>
      <c r="B44" s="24" t="s">
        <v>27</v>
      </c>
      <c r="C44" s="78">
        <v>24</v>
      </c>
      <c r="D44" s="78">
        <v>583</v>
      </c>
      <c r="E44" s="23">
        <f t="shared" si="1"/>
        <v>607</v>
      </c>
      <c r="F44" s="25">
        <f t="shared" si="0"/>
        <v>3.5778280756354032E-3</v>
      </c>
    </row>
    <row r="45" spans="1:6" x14ac:dyDescent="0.2">
      <c r="A45" s="23">
        <v>38</v>
      </c>
      <c r="B45" s="24" t="s">
        <v>93</v>
      </c>
      <c r="C45" s="78"/>
      <c r="D45" s="78">
        <v>15</v>
      </c>
      <c r="E45" s="23">
        <f>IF(SUM(C45:D45)=0,0,SUM(C45:D45))</f>
        <v>15</v>
      </c>
      <c r="F45" s="25">
        <f t="shared" si="0"/>
        <v>8.8414202857547042E-5</v>
      </c>
    </row>
    <row r="46" spans="1:6" x14ac:dyDescent="0.2">
      <c r="A46" s="23">
        <v>39</v>
      </c>
      <c r="B46" s="24" t="s">
        <v>28</v>
      </c>
      <c r="C46" s="78">
        <v>3</v>
      </c>
      <c r="D46" s="78">
        <v>570</v>
      </c>
      <c r="E46" s="23">
        <f t="shared" si="1"/>
        <v>573</v>
      </c>
      <c r="F46" s="25">
        <f t="shared" si="0"/>
        <v>3.3774225491582967E-3</v>
      </c>
    </row>
    <row r="47" spans="1:6" x14ac:dyDescent="0.2">
      <c r="A47" s="23">
        <v>40</v>
      </c>
      <c r="B47" s="24" t="s">
        <v>89</v>
      </c>
      <c r="C47" s="78">
        <v>0</v>
      </c>
      <c r="D47" s="78">
        <v>0</v>
      </c>
      <c r="E47" s="23">
        <f>IF(SUM(C47:D47)=0,0,SUM(C47:D47))</f>
        <v>0</v>
      </c>
      <c r="F47" s="25" t="str">
        <f t="shared" si="0"/>
        <v/>
      </c>
    </row>
    <row r="48" spans="1:6" x14ac:dyDescent="0.2">
      <c r="A48" s="23">
        <v>41</v>
      </c>
      <c r="B48" s="79" t="s">
        <v>52</v>
      </c>
      <c r="C48" s="78">
        <v>6080</v>
      </c>
      <c r="D48" s="78">
        <v>191</v>
      </c>
      <c r="E48" s="23">
        <f t="shared" si="1"/>
        <v>6271</v>
      </c>
      <c r="F48" s="25">
        <f t="shared" si="0"/>
        <v>3.6963031074645165E-2</v>
      </c>
    </row>
    <row r="49" spans="1:6" x14ac:dyDescent="0.2">
      <c r="A49" s="23">
        <v>42</v>
      </c>
      <c r="B49" s="79" t="s">
        <v>51</v>
      </c>
      <c r="C49" s="78">
        <v>2757</v>
      </c>
      <c r="D49" s="78">
        <v>354</v>
      </c>
      <c r="E49" s="23">
        <f t="shared" si="1"/>
        <v>3111</v>
      </c>
      <c r="F49" s="25">
        <f t="shared" si="0"/>
        <v>1.8337105672655254E-2</v>
      </c>
    </row>
    <row r="50" spans="1:6" ht="13.5" thickBot="1" x14ac:dyDescent="0.25">
      <c r="A50" s="73">
        <v>43</v>
      </c>
      <c r="B50" s="113" t="s">
        <v>88</v>
      </c>
      <c r="C50" s="80">
        <v>1453</v>
      </c>
      <c r="D50" s="80">
        <v>182</v>
      </c>
      <c r="E50" s="73">
        <f t="shared" si="1"/>
        <v>1635</v>
      </c>
      <c r="F50" s="81">
        <f t="shared" si="0"/>
        <v>9.6371481114726262E-3</v>
      </c>
    </row>
    <row r="51" spans="1:6" ht="13.5" thickTop="1" x14ac:dyDescent="0.2">
      <c r="B51" s="6" t="s">
        <v>29</v>
      </c>
      <c r="C51" s="74">
        <f>IF(SUM(C8:C50)=0,0,SUM(C8:C50))</f>
        <v>146588</v>
      </c>
      <c r="D51" s="74">
        <f>IF(SUM(D8:D50)=0,0,SUM(D8:D50))</f>
        <v>23068</v>
      </c>
      <c r="E51" s="74">
        <f>IF(SUM(E8:E50)=0,0,SUM(E8:E50))</f>
        <v>169656</v>
      </c>
      <c r="F51" s="83">
        <f>IF($E$51=0,0,E51/$E$51)</f>
        <v>1</v>
      </c>
    </row>
    <row r="52" spans="1:6" x14ac:dyDescent="0.2">
      <c r="A52" s="2" t="s">
        <v>33</v>
      </c>
      <c r="B52" s="19"/>
      <c r="C52" s="19"/>
      <c r="D52" s="19"/>
      <c r="E52" s="19"/>
    </row>
    <row r="53" spans="1:6" x14ac:dyDescent="0.2">
      <c r="A53" s="2" t="s">
        <v>38</v>
      </c>
      <c r="D53" s="19"/>
      <c r="E53" s="19"/>
    </row>
    <row r="54" spans="1:6" x14ac:dyDescent="0.2">
      <c r="A54" s="2" t="s">
        <v>39</v>
      </c>
      <c r="C54" s="12"/>
      <c r="D54" s="12"/>
      <c r="E54" s="12"/>
    </row>
    <row r="55" spans="1:6" x14ac:dyDescent="0.2">
      <c r="C55" s="12"/>
      <c r="D55" s="12"/>
      <c r="E55" s="12"/>
    </row>
    <row r="58" spans="1:6" x14ac:dyDescent="0.2">
      <c r="B58" s="1" t="str">
        <f>'Summary Load Customers '!A34</f>
        <v>Dated 02/19/2013</v>
      </c>
    </row>
  </sheetData>
  <phoneticPr fontId="0" type="noConversion"/>
  <printOptions horizontalCentered="1"/>
  <pageMargins left="0.5" right="0.5" top="0.5" bottom="0.25" header="0" footer="0"/>
  <pageSetup scale="97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Layout" zoomScaleNormal="100" workbookViewId="0">
      <selection activeCell="D23" sqref="D23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27" t="s">
        <v>84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">
      <c r="A3" s="27" t="s">
        <v>83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">
      <c r="A5" s="11" t="str">
        <f>'Summary Load Customers '!A5</f>
        <v>Data as of January 31, 2013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25">
      <c r="A7" s="65" t="s">
        <v>75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3">
      <c r="B8" s="32"/>
      <c r="C8" s="32"/>
      <c r="D8" s="63"/>
      <c r="E8" s="63"/>
      <c r="F8" s="70"/>
      <c r="G8" s="70"/>
      <c r="H8" s="32"/>
    </row>
    <row r="9" spans="1:9" ht="18" customHeight="1" x14ac:dyDescent="0.2">
      <c r="A9" s="33" t="s">
        <v>81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42</v>
      </c>
      <c r="E10" s="57"/>
      <c r="F10" s="36" t="s">
        <v>49</v>
      </c>
      <c r="G10" s="38"/>
    </row>
    <row r="11" spans="1:9" ht="18" customHeight="1" x14ac:dyDescent="0.2">
      <c r="A11" s="41"/>
      <c r="B11" s="42" t="s">
        <v>24</v>
      </c>
      <c r="C11" s="43" t="s">
        <v>36</v>
      </c>
      <c r="D11" s="42" t="str">
        <f>B11</f>
        <v>Customers</v>
      </c>
      <c r="E11" s="43" t="s">
        <v>36</v>
      </c>
      <c r="F11" s="42" t="str">
        <f>B11</f>
        <v>Customers</v>
      </c>
      <c r="G11" s="43" t="s">
        <v>35</v>
      </c>
    </row>
    <row r="12" spans="1:9" ht="18" customHeight="1" x14ac:dyDescent="0.2">
      <c r="A12" s="44" t="s">
        <v>77</v>
      </c>
      <c r="B12" s="47">
        <f>REC_programs_detail!B22</f>
        <v>4766</v>
      </c>
      <c r="C12" s="48">
        <f>IF(B12=0,0,B12/'Summary Load Customers '!$B$21)</f>
        <v>1.6227387717440526E-2</v>
      </c>
      <c r="D12" s="47">
        <f>REC_programs_detail!C22</f>
        <v>51</v>
      </c>
      <c r="E12" s="48">
        <f>IF(D12=0,0,D12/('Summary Load Customers '!$D$21+'Summary Load Customers '!$F$21))</f>
        <v>1.3146023972161361E-3</v>
      </c>
      <c r="F12" s="47">
        <f>B12+D12</f>
        <v>4817</v>
      </c>
      <c r="G12" s="48">
        <f>IF(F12=0,0,F12/'Summary Load Customers '!$H$21)</f>
        <v>1.4487392329531784E-2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4,817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">
      <c r="A16" s="33" t="s">
        <v>76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42</v>
      </c>
      <c r="E17" s="57"/>
      <c r="F17" s="36" t="s">
        <v>49</v>
      </c>
      <c r="G17" s="38"/>
    </row>
    <row r="18" spans="1:9" ht="18" customHeight="1" x14ac:dyDescent="0.2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B18</f>
        <v>Customers</v>
      </c>
      <c r="G18" s="43" t="s">
        <v>35</v>
      </c>
    </row>
    <row r="19" spans="1:9" ht="18" customHeight="1" x14ac:dyDescent="0.2">
      <c r="A19" s="44" t="s">
        <v>78</v>
      </c>
      <c r="B19" s="47">
        <f>REC_programs_detail!B28</f>
        <v>1050</v>
      </c>
      <c r="C19" s="48">
        <f>IF(B19=0,0,B19/'Summary Load Customers '!$B$21)</f>
        <v>3.5750644362804347E-3</v>
      </c>
      <c r="D19" s="47">
        <f>REC_programs_detail!C28</f>
        <v>66</v>
      </c>
      <c r="E19" s="48">
        <f>IF(D19=0,0,D19/('Summary Load Customers '!$D$21+'Summary Load Customers '!$F$21))</f>
        <v>1.701250161103235E-3</v>
      </c>
      <c r="F19" s="47">
        <f>B19+D19</f>
        <v>1116</v>
      </c>
      <c r="G19" s="48">
        <f>IF(F19=0,0,F19/'Summary Load Customers '!$H$21)</f>
        <v>3.3564313555651797E-3</v>
      </c>
    </row>
    <row r="20" spans="1:9" ht="18" customHeight="1" x14ac:dyDescent="0.2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">
      <c r="A21" s="112" t="str">
        <f>"As the above table shows, "&amp;TEXT(F19,"0,000")&amp;" of UI's customers, or "&amp;TEXT(G19,"0.0%")&amp;" are participating in the REC only program."</f>
        <v>As the above table shows, 1,116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4.25" x14ac:dyDescent="0.2">
      <c r="A22" s="50"/>
    </row>
    <row r="23" spans="1:9" ht="15" x14ac:dyDescent="0.2">
      <c r="A23" s="33" t="s">
        <v>80</v>
      </c>
      <c r="B23" s="34"/>
      <c r="C23" s="34"/>
      <c r="D23" s="34"/>
      <c r="E23" s="34"/>
      <c r="F23" s="34"/>
      <c r="G23" s="55"/>
      <c r="H23" s="29"/>
      <c r="I23" s="30"/>
    </row>
    <row r="24" spans="1:9" ht="15" x14ac:dyDescent="0.25">
      <c r="A24" s="44"/>
      <c r="B24" s="36" t="s">
        <v>5</v>
      </c>
      <c r="C24" s="56"/>
      <c r="D24" s="36" t="s">
        <v>42</v>
      </c>
      <c r="E24" s="57"/>
      <c r="F24" s="36" t="s">
        <v>49</v>
      </c>
      <c r="G24" s="38"/>
    </row>
    <row r="25" spans="1:9" ht="15" x14ac:dyDescent="0.2">
      <c r="A25" s="41"/>
      <c r="B25" s="42" t="s">
        <v>24</v>
      </c>
      <c r="C25" s="43" t="s">
        <v>36</v>
      </c>
      <c r="D25" s="42" t="str">
        <f>B25</f>
        <v>Customers</v>
      </c>
      <c r="E25" s="43" t="s">
        <v>36</v>
      </c>
      <c r="F25" s="42" t="str">
        <f>B25</f>
        <v>Customers</v>
      </c>
      <c r="G25" s="43" t="s">
        <v>35</v>
      </c>
    </row>
    <row r="26" spans="1:9" ht="14.25" x14ac:dyDescent="0.2">
      <c r="A26" s="44" t="s">
        <v>79</v>
      </c>
      <c r="B26" s="47">
        <f>B12+B19</f>
        <v>5816</v>
      </c>
      <c r="C26" s="48">
        <f>IF(B26=0,0,B26/'Summary Load Customers '!$B$21)</f>
        <v>1.9802452153720961E-2</v>
      </c>
      <c r="D26" s="47">
        <f>D12+D19</f>
        <v>117</v>
      </c>
      <c r="E26" s="48">
        <f>IF(D26=0,0,D26/('Summary Load Customers '!$D$21+'Summary Load Customers '!$F$21))</f>
        <v>3.0158525583193711E-3</v>
      </c>
      <c r="F26" s="47">
        <f>B26+D26</f>
        <v>5933</v>
      </c>
      <c r="G26" s="48">
        <f>IF(F26=0,0,F26/'Summary Load Customers '!$H$21)</f>
        <v>1.7843823685096964E-2</v>
      </c>
    </row>
    <row r="27" spans="1:9" ht="15" x14ac:dyDescent="0.25">
      <c r="G27" s="54"/>
      <c r="H27" s="32"/>
    </row>
    <row r="28" spans="1:9" ht="15" x14ac:dyDescent="0.25">
      <c r="A28" s="112" t="str">
        <f>"As the above table shows, "&amp;TEXT(F26,"0,000")&amp;" of UI's customers, or "&amp;TEXT(G26,"0.0%")&amp;" are participating in the combined REC programs."</f>
        <v>As the above table shows, 5,933 of UI's customers, or 1.8% are participating in the combined REC programs.</v>
      </c>
      <c r="G28" s="54"/>
      <c r="H28" s="32"/>
    </row>
    <row r="30" spans="1:9" ht="13.5" x14ac:dyDescent="0.2">
      <c r="A30" s="71" t="s">
        <v>48</v>
      </c>
    </row>
    <row r="31" spans="1:9" ht="13.5" x14ac:dyDescent="0.2">
      <c r="A31" s="71"/>
    </row>
    <row r="32" spans="1:9" ht="13.5" x14ac:dyDescent="0.2">
      <c r="A32" s="71" t="s">
        <v>82</v>
      </c>
    </row>
    <row r="34" spans="1:1" x14ac:dyDescent="0.2">
      <c r="A34" s="72" t="s">
        <v>33</v>
      </c>
    </row>
    <row r="36" spans="1:1" x14ac:dyDescent="0.2">
      <c r="A36" s="3" t="str">
        <f>'Summary Load Customers '!A34</f>
        <v>Dated 02/19/2013</v>
      </c>
    </row>
  </sheetData>
  <phoneticPr fontId="10" type="noConversion"/>
  <pageMargins left="0.75" right="0.75" top="1" bottom="1" header="0.5" footer="0.5"/>
  <pageSetup scale="64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sqref="A1:D1"/>
    </sheetView>
  </sheetViews>
  <sheetFormatPr defaultColWidth="9.140625" defaultRowHeight="11.25" x14ac:dyDescent="0.2"/>
  <cols>
    <col min="1" max="1" width="28" style="87" customWidth="1"/>
    <col min="2" max="3" width="19.140625" style="87" customWidth="1"/>
    <col min="4" max="4" width="20.28515625" style="87" customWidth="1"/>
    <col min="5" max="5" width="7.140625" style="87" customWidth="1"/>
    <col min="6" max="6" width="23.28515625" style="87" bestFit="1" customWidth="1"/>
    <col min="7" max="7" width="10.42578125" style="87" customWidth="1"/>
    <col min="8" max="16384" width="9.140625" style="87"/>
  </cols>
  <sheetData>
    <row r="1" spans="1:8" s="86" customFormat="1" x14ac:dyDescent="0.2">
      <c r="A1" s="116" t="str">
        <f>'Summary Load Customers '!A1</f>
        <v>The United Illuminating Company</v>
      </c>
      <c r="B1" s="116"/>
      <c r="C1" s="116"/>
      <c r="D1" s="116"/>
      <c r="E1" s="84"/>
      <c r="F1" s="84"/>
      <c r="G1" s="85"/>
    </row>
    <row r="2" spans="1:8" s="86" customFormat="1" x14ac:dyDescent="0.2">
      <c r="A2" s="116" t="s">
        <v>68</v>
      </c>
      <c r="B2" s="116"/>
      <c r="C2" s="116"/>
      <c r="D2" s="116"/>
      <c r="E2" s="84"/>
      <c r="F2" s="84"/>
      <c r="G2" s="85"/>
    </row>
    <row r="3" spans="1:8" s="86" customFormat="1" x14ac:dyDescent="0.2">
      <c r="A3" s="116" t="s">
        <v>2</v>
      </c>
      <c r="B3" s="116"/>
      <c r="C3" s="116"/>
      <c r="D3" s="116"/>
      <c r="E3" s="84"/>
      <c r="F3" s="84"/>
      <c r="G3" s="85"/>
    </row>
    <row r="4" spans="1:8" s="86" customFormat="1" x14ac:dyDescent="0.2">
      <c r="A4" s="116" t="str">
        <f>'Summary Load Customers '!A5</f>
        <v>Data as of January 31, 2013</v>
      </c>
      <c r="B4" s="116"/>
      <c r="C4" s="116"/>
      <c r="D4" s="116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2.5" x14ac:dyDescent="0.2">
      <c r="A6" s="89" t="s">
        <v>70</v>
      </c>
      <c r="B6" s="90" t="s">
        <v>5</v>
      </c>
      <c r="C6" s="89" t="s">
        <v>6</v>
      </c>
      <c r="D6" s="89" t="s">
        <v>49</v>
      </c>
      <c r="E6" s="91"/>
      <c r="F6" s="91"/>
      <c r="G6" s="92"/>
      <c r="H6" s="93"/>
    </row>
    <row r="7" spans="1:8" x14ac:dyDescent="0.2">
      <c r="A7" s="95" t="s">
        <v>69</v>
      </c>
      <c r="B7" s="96" t="s">
        <v>34</v>
      </c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30</v>
      </c>
      <c r="B8" s="97">
        <v>204</v>
      </c>
      <c r="C8" s="97">
        <v>2</v>
      </c>
      <c r="D8" s="98">
        <f>SUM(B8:C8)</f>
        <v>206</v>
      </c>
      <c r="E8" s="100"/>
      <c r="F8" s="100"/>
      <c r="G8" s="99"/>
      <c r="H8" s="88"/>
    </row>
    <row r="9" spans="1:8" x14ac:dyDescent="0.2">
      <c r="A9" s="95" t="s">
        <v>31</v>
      </c>
      <c r="B9" s="97">
        <v>4177</v>
      </c>
      <c r="C9" s="97">
        <v>48</v>
      </c>
      <c r="D9" s="98">
        <f>SUM(B9:C9)</f>
        <v>4225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4381</v>
      </c>
      <c r="C10" s="104">
        <f>IF(SUM(C7:C9)=0,0,SUM(C7:C9))</f>
        <v>50</v>
      </c>
      <c r="D10" s="104">
        <f>IF(SUM(D7:D9)=0,0,SUM(D7:D9))</f>
        <v>4431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2.5" x14ac:dyDescent="0.2">
      <c r="A12" s="89" t="s">
        <v>73</v>
      </c>
      <c r="B12" s="89" t="s">
        <v>5</v>
      </c>
      <c r="C12" s="89" t="str">
        <f>C6</f>
        <v>Business</v>
      </c>
      <c r="D12" s="89" t="s">
        <v>49</v>
      </c>
      <c r="E12" s="107"/>
      <c r="F12" s="108"/>
      <c r="G12" s="106"/>
      <c r="H12" s="88"/>
    </row>
    <row r="13" spans="1:8" x14ac:dyDescent="0.2">
      <c r="A13" s="95" t="s">
        <v>69</v>
      </c>
      <c r="B13" s="96" t="s">
        <v>34</v>
      </c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30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31</v>
      </c>
      <c r="B15" s="97">
        <v>382</v>
      </c>
      <c r="C15" s="97">
        <v>1</v>
      </c>
      <c r="D15" s="98">
        <f>SUM(B15:C15)</f>
        <v>383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385</v>
      </c>
      <c r="C16" s="104">
        <f>IF(SUM(C13:C15)=0,0,SUM(C13:C15))</f>
        <v>1</v>
      </c>
      <c r="D16" s="104">
        <f>IF(SUM(D13:D15)=0,0,SUM(D13:D15))</f>
        <v>386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2.5" x14ac:dyDescent="0.2">
      <c r="A18" s="89" t="s">
        <v>74</v>
      </c>
      <c r="B18" s="89" t="s">
        <v>5</v>
      </c>
      <c r="C18" s="89" t="str">
        <f>C6</f>
        <v>Business</v>
      </c>
      <c r="D18" s="89" t="s">
        <v>49</v>
      </c>
      <c r="E18" s="107"/>
      <c r="F18" s="108"/>
      <c r="G18" s="106"/>
      <c r="H18" s="88"/>
    </row>
    <row r="19" spans="1:8" x14ac:dyDescent="0.2">
      <c r="A19" s="95" t="s">
        <v>69</v>
      </c>
      <c r="B19" s="96" t="s">
        <v>34</v>
      </c>
      <c r="C19" s="109">
        <f t="shared" ref="C19:D21" si="0">IF(C7+C13=0,0,C7+C13)</f>
        <v>0</v>
      </c>
      <c r="D19" s="98">
        <f t="shared" si="0"/>
        <v>0</v>
      </c>
      <c r="E19" s="106"/>
      <c r="F19" s="106"/>
      <c r="G19" s="106"/>
      <c r="H19" s="88"/>
    </row>
    <row r="20" spans="1:8" x14ac:dyDescent="0.2">
      <c r="A20" s="95" t="s">
        <v>30</v>
      </c>
      <c r="B20" s="109">
        <f>IF(B8+B14=0,0,B8+B14)</f>
        <v>207</v>
      </c>
      <c r="C20" s="109">
        <f t="shared" si="0"/>
        <v>2</v>
      </c>
      <c r="D20" s="98">
        <f t="shared" si="0"/>
        <v>209</v>
      </c>
      <c r="E20" s="99"/>
      <c r="F20" s="106"/>
      <c r="G20" s="106"/>
      <c r="H20" s="88"/>
    </row>
    <row r="21" spans="1:8" x14ac:dyDescent="0.2">
      <c r="A21" s="95" t="s">
        <v>31</v>
      </c>
      <c r="B21" s="109">
        <f>IF(B9+B15=0,0,B9+B15)</f>
        <v>4559</v>
      </c>
      <c r="C21" s="109">
        <f t="shared" si="0"/>
        <v>49</v>
      </c>
      <c r="D21" s="98">
        <f t="shared" si="0"/>
        <v>4608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4766</v>
      </c>
      <c r="C22" s="104">
        <f>IF(SUM(C19:C21)=0,0,SUM(C19:C21))</f>
        <v>51</v>
      </c>
      <c r="D22" s="104">
        <f>SUM(D19:D21)</f>
        <v>4817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2.5" x14ac:dyDescent="0.2">
      <c r="A24" s="89" t="s">
        <v>71</v>
      </c>
      <c r="B24" s="89" t="s">
        <v>5</v>
      </c>
      <c r="C24" s="89">
        <f>C17</f>
        <v>0</v>
      </c>
      <c r="D24" s="89" t="s">
        <v>49</v>
      </c>
    </row>
    <row r="25" spans="1:8" x14ac:dyDescent="0.2">
      <c r="A25" s="95" t="s">
        <v>69</v>
      </c>
      <c r="B25" s="96" t="s">
        <v>34</v>
      </c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30</v>
      </c>
      <c r="B26" s="97">
        <v>277</v>
      </c>
      <c r="C26" s="97">
        <v>11</v>
      </c>
      <c r="D26" s="98">
        <f>SUM(B26:C26)</f>
        <v>288</v>
      </c>
    </row>
    <row r="27" spans="1:8" x14ac:dyDescent="0.2">
      <c r="A27" s="95" t="s">
        <v>31</v>
      </c>
      <c r="B27" s="97">
        <v>773</v>
      </c>
      <c r="C27" s="97">
        <v>55</v>
      </c>
      <c r="D27" s="98">
        <f>SUM(B27:C27)</f>
        <v>828</v>
      </c>
    </row>
    <row r="28" spans="1:8" x14ac:dyDescent="0.2">
      <c r="A28" s="103" t="str">
        <f>A22</f>
        <v>Total</v>
      </c>
      <c r="B28" s="104">
        <f>IF(B26+B27=0,0,B26+B27)</f>
        <v>1050</v>
      </c>
      <c r="C28" s="104">
        <f>IF(SUM(C25:C27)=0,0,SUM(C25:C27))</f>
        <v>66</v>
      </c>
      <c r="D28" s="104">
        <f>IF(SUM(D25:D27)=0,0,SUM(D25:D27))</f>
        <v>1116</v>
      </c>
    </row>
    <row r="30" spans="1:8" x14ac:dyDescent="0.2">
      <c r="A30" s="89" t="s">
        <v>72</v>
      </c>
      <c r="B30" s="89" t="s">
        <v>5</v>
      </c>
      <c r="C30" s="89" t="str">
        <f>C18</f>
        <v>Business</v>
      </c>
      <c r="D30" s="89" t="s">
        <v>49</v>
      </c>
    </row>
    <row r="31" spans="1:8" x14ac:dyDescent="0.2">
      <c r="A31" s="95" t="s">
        <v>69</v>
      </c>
      <c r="B31" s="96" t="s">
        <v>34</v>
      </c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30</v>
      </c>
      <c r="B32" s="109">
        <f>B20+B26</f>
        <v>484</v>
      </c>
      <c r="C32" s="109">
        <f t="shared" si="1"/>
        <v>13</v>
      </c>
      <c r="D32" s="98">
        <f t="shared" si="1"/>
        <v>497</v>
      </c>
      <c r="E32" s="88"/>
      <c r="F32" s="88"/>
      <c r="G32" s="88"/>
    </row>
    <row r="33" spans="1:4" x14ac:dyDescent="0.2">
      <c r="A33" s="95" t="s">
        <v>31</v>
      </c>
      <c r="B33" s="109">
        <f>B21+B27</f>
        <v>5332</v>
      </c>
      <c r="C33" s="109">
        <f t="shared" si="1"/>
        <v>104</v>
      </c>
      <c r="D33" s="98">
        <f t="shared" si="1"/>
        <v>5436</v>
      </c>
    </row>
    <row r="34" spans="1:4" x14ac:dyDescent="0.2">
      <c r="A34" s="103" t="str">
        <f>A28</f>
        <v>Total</v>
      </c>
      <c r="B34" s="104">
        <f>IF(B32+B33=0,0,B32+B33)</f>
        <v>5816</v>
      </c>
      <c r="C34" s="104">
        <f>IF(SUM(C31:C33)=0,0,SUM(C31:C33))</f>
        <v>117</v>
      </c>
      <c r="D34" s="104">
        <f>SUM(D31:D33)</f>
        <v>5933</v>
      </c>
    </row>
    <row r="36" spans="1:4" x14ac:dyDescent="0.2">
      <c r="A36" s="110" t="str">
        <f>"In summary, "&amp;TEXT($D$22,"0,000")&amp; " of UI's customers are participating in the CTCleanEnergyOptions Program"</f>
        <v>In summary, 4,817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1,116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5,933 of UI's customers are participating in all REC programs</v>
      </c>
    </row>
    <row r="40" spans="1:4" x14ac:dyDescent="0.2">
      <c r="A40" s="111" t="s">
        <v>37</v>
      </c>
    </row>
    <row r="41" spans="1:4" x14ac:dyDescent="0.2">
      <c r="A41" s="88" t="s">
        <v>32</v>
      </c>
    </row>
    <row r="43" spans="1:4" x14ac:dyDescent="0.2">
      <c r="A43" s="87" t="str">
        <f>'Summary Load Customers '!A34</f>
        <v>Dated 02/19/2013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1" right="1" top="0.5" bottom="0.5" header="0" footer="0"/>
  <pageSetup scale="97" orientation="portrait" r:id="rId1"/>
  <headerFooter alignWithMargins="0">
    <oddHeader xml:space="preserve">&amp;RPage 4 of 4
</oddHeader>
  </headerFooter>
  <ignoredErrors>
    <ignoredError sqref="B20: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XWRONSM</cp:lastModifiedBy>
  <cp:lastPrinted>2012-11-13T19:20:58Z</cp:lastPrinted>
  <dcterms:created xsi:type="dcterms:W3CDTF">2009-03-17T13:14:28Z</dcterms:created>
  <dcterms:modified xsi:type="dcterms:W3CDTF">2013-02-17T14:10:16Z</dcterms:modified>
</cp:coreProperties>
</file>