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52" yWindow="-12" windowWidth="9600" windowHeight="11136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REC_programs_detail!$A$1:$D$43</definedName>
    <definedName name="_xlnm.Print_Area" localSheetId="0">'Summary Load Customers '!$A$1:$I$25</definedName>
    <definedName name="_xlnm.Print_Area" localSheetId="1">Suppliers!$B$1:$F$61</definedName>
  </definedNames>
  <calcPr calcId="145621"/>
</workbook>
</file>

<file path=xl/calcChain.xml><?xml version="1.0" encoding="utf-8"?>
<calcChain xmlns="http://schemas.openxmlformats.org/spreadsheetml/2006/main">
  <c r="E27" i="6" l="1"/>
  <c r="E28" i="6"/>
  <c r="E29" i="6"/>
  <c r="E30" i="6"/>
  <c r="E32" i="6"/>
  <c r="E34" i="6"/>
  <c r="E35" i="6"/>
  <c r="E36" i="6"/>
  <c r="E37" i="6"/>
  <c r="E38" i="6"/>
  <c r="E44" i="6"/>
  <c r="E45" i="6"/>
  <c r="E46" i="6"/>
  <c r="E48" i="6"/>
  <c r="E51" i="6"/>
  <c r="E52" i="6"/>
  <c r="E53" i="6"/>
  <c r="E19" i="6"/>
  <c r="E8" i="6"/>
  <c r="E9" i="6"/>
  <c r="E10" i="6"/>
  <c r="E11" i="6"/>
  <c r="E13" i="6"/>
  <c r="E14" i="6"/>
  <c r="E15" i="6"/>
  <c r="E16" i="6"/>
  <c r="E17" i="6"/>
  <c r="E18" i="6"/>
  <c r="E20" i="6"/>
  <c r="E21" i="6"/>
  <c r="E22" i="6"/>
  <c r="E23" i="6"/>
  <c r="E24" i="6"/>
  <c r="E25" i="6"/>
  <c r="E26" i="6"/>
  <c r="E33" i="6"/>
  <c r="E40" i="6"/>
  <c r="E42" i="6"/>
  <c r="E49" i="6"/>
  <c r="B20" i="5"/>
  <c r="C20" i="5"/>
  <c r="B21" i="5"/>
  <c r="B33" i="5" s="1"/>
  <c r="D54" i="6"/>
  <c r="C54" i="6"/>
  <c r="C21" i="5"/>
  <c r="B32" i="5"/>
  <c r="C32" i="5"/>
  <c r="E47" i="6"/>
  <c r="E39" i="6"/>
  <c r="E50" i="6"/>
  <c r="F50" i="6" s="1"/>
  <c r="E43" i="6"/>
  <c r="E12" i="6"/>
  <c r="F12" i="6" s="1"/>
  <c r="E31" i="6"/>
  <c r="F31" i="6" s="1"/>
  <c r="E41" i="6"/>
  <c r="A5" i="8"/>
  <c r="B28" i="5"/>
  <c r="B19" i="8" s="1"/>
  <c r="F25" i="8"/>
  <c r="F18" i="8"/>
  <c r="F11" i="8"/>
  <c r="A36" i="8"/>
  <c r="D7" i="5"/>
  <c r="D19" i="5" s="1"/>
  <c r="D13" i="5"/>
  <c r="C19" i="5"/>
  <c r="C31" i="5" s="1"/>
  <c r="D8" i="5"/>
  <c r="D14" i="5"/>
  <c r="D26" i="5"/>
  <c r="D9" i="5"/>
  <c r="D21" i="5" s="1"/>
  <c r="D15" i="5"/>
  <c r="D27" i="5"/>
  <c r="C24" i="5"/>
  <c r="H19" i="7"/>
  <c r="H21" i="7" s="1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1" i="6"/>
  <c r="H10" i="7"/>
  <c r="H11" i="7"/>
  <c r="H12" i="7" s="1"/>
  <c r="I10" i="7" s="1"/>
  <c r="A13" i="7" s="1"/>
  <c r="A1" i="6"/>
  <c r="A1" i="5"/>
  <c r="C16" i="5"/>
  <c r="C10" i="5"/>
  <c r="B10" i="5"/>
  <c r="B16" i="5"/>
  <c r="A4" i="6"/>
  <c r="A4" i="5"/>
  <c r="A21" i="7"/>
  <c r="A20" i="7"/>
  <c r="D9" i="7"/>
  <c r="F9" i="7"/>
  <c r="H9" i="7" s="1"/>
  <c r="B12" i="7"/>
  <c r="C10" i="7" s="1"/>
  <c r="D12" i="7"/>
  <c r="E11" i="7" s="1"/>
  <c r="F12" i="7"/>
  <c r="G11" i="7" s="1"/>
  <c r="D18" i="7"/>
  <c r="F18" i="7" s="1"/>
  <c r="H18" i="7" s="1"/>
  <c r="A19" i="7"/>
  <c r="A16" i="5"/>
  <c r="C12" i="5"/>
  <c r="C25" i="5"/>
  <c r="D25" i="5"/>
  <c r="D28" i="5" s="1"/>
  <c r="A37" i="5" s="1"/>
  <c r="C28" i="5"/>
  <c r="D19" i="8" s="1"/>
  <c r="E19" i="8" s="1"/>
  <c r="G19" i="7"/>
  <c r="E19" i="7"/>
  <c r="C20" i="7"/>
  <c r="C33" i="5"/>
  <c r="G10" i="7"/>
  <c r="C11" i="7"/>
  <c r="F41" i="6"/>
  <c r="D33" i="5" l="1"/>
  <c r="D16" i="5"/>
  <c r="C34" i="5"/>
  <c r="D10" i="5"/>
  <c r="B22" i="5"/>
  <c r="B12" i="8" s="1"/>
  <c r="C12" i="8" s="1"/>
  <c r="B34" i="5"/>
  <c r="C19" i="8"/>
  <c r="F19" i="8"/>
  <c r="B26" i="8"/>
  <c r="F33" i="6"/>
  <c r="F18" i="6"/>
  <c r="F11" i="6"/>
  <c r="F38" i="6"/>
  <c r="F34" i="6"/>
  <c r="F28" i="6"/>
  <c r="I20" i="7"/>
  <c r="A24" i="7" s="1"/>
  <c r="I19" i="7"/>
  <c r="A23" i="7" s="1"/>
  <c r="D31" i="5"/>
  <c r="E54" i="6"/>
  <c r="I11" i="7"/>
  <c r="A14" i="7" s="1"/>
  <c r="E10" i="7"/>
  <c r="C22" i="5"/>
  <c r="D12" i="8" s="1"/>
  <c r="F12" i="8" s="1"/>
  <c r="D20" i="5"/>
  <c r="D32" i="5" s="1"/>
  <c r="G12" i="8" l="1"/>
  <c r="A14" i="8"/>
  <c r="D34" i="5"/>
  <c r="A38" i="5" s="1"/>
  <c r="C26" i="8"/>
  <c r="F27" i="6"/>
  <c r="F8" i="6"/>
  <c r="F40" i="6"/>
  <c r="F29" i="6"/>
  <c r="F53" i="6"/>
  <c r="F17" i="6"/>
  <c r="F26" i="6"/>
  <c r="F22" i="6"/>
  <c r="F35" i="6"/>
  <c r="F15" i="6"/>
  <c r="F20" i="6"/>
  <c r="F9" i="6"/>
  <c r="F37" i="6"/>
  <c r="F47" i="6"/>
  <c r="F44" i="6"/>
  <c r="F16" i="6"/>
  <c r="F25" i="6"/>
  <c r="F24" i="6"/>
  <c r="F54" i="6"/>
  <c r="F43" i="6"/>
  <c r="F48" i="6"/>
  <c r="F19" i="6"/>
  <c r="F49" i="6"/>
  <c r="F46" i="6"/>
  <c r="F51" i="6"/>
  <c r="F32" i="6"/>
  <c r="F13" i="6"/>
  <c r="F21" i="6"/>
  <c r="F10" i="6"/>
  <c r="F45" i="6"/>
  <c r="F39" i="6"/>
  <c r="D22" i="5"/>
  <c r="A36" i="5" s="1"/>
  <c r="F30" i="6"/>
  <c r="F36" i="6"/>
  <c r="F52" i="6"/>
  <c r="F14" i="6"/>
  <c r="F23" i="6"/>
  <c r="F42" i="6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<sst xmlns="http://schemas.openxmlformats.org/spreadsheetml/2006/main" count="168" uniqueCount="103">
  <si>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</si>
  <si>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</si>
  <si>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</si>
  <si>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</si>
  <si>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</si>
  <si>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</si>
  <si>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</si>
  <si>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</si>
  <si>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</si>
  <si>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</si>
  <si>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</si>
  <si>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</si>
  <si>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</si>
  <si>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</si>
  <si>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</si>
  <si>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</si>
  <si>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</si>
  <si>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Direct Energy Service, LLC</t>
  </si>
  <si>
    <t>Gexa Energy Connecticut, LLC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</si>
  <si>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</si>
  <si>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</si>
  <si>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</si>
  <si>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</si>
  <si>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</si>
  <si>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</si>
  <si>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</si>
  <si>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Sempra Energy Solutions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</si>
  <si>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</si>
  <si>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</si>
  <si>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</si>
  <si>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</si>
  <si>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</si>
  <si>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</si>
  <si>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</si>
  <si>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N/A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</si>
  <si>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</si>
  <si>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</si>
  <si>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</si>
  <si>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</si>
  <si>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</si>
  <si>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</si>
  <si>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</si>
  <si>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</si>
  <si>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</si>
  <si>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</si>
  <si>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</si>
  <si>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</si>
  <si>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</si>
  <si>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</si>
  <si>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</si>
  <si>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</si>
  <si>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</si>
  <si>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</si>
  <si>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</si>
  <si>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</si>
  <si>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</si>
  <si>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</si>
  <si>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r>
      <t>Direct Energy Business, LLC</t>
    </r>
    <r>
      <rPr>
        <sz val="8"/>
        <rFont val="Arial"/>
        <family val="2"/>
      </rPr>
      <t xml:space="preserve"> (F/K/AStrategic)</t>
    </r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</si>
  <si>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</si>
  <si>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</si>
  <si>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</si>
  <si>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</si>
  <si>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</si>
  <si>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</si>
  <si>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</si>
  <si>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</si>
  <si>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</si>
  <si>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Dominion Energy Services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</si>
  <si>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</si>
  <si>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</si>
  <si>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</si>
  <si>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</si>
  <si>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</si>
  <si>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</si>
  <si>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</si>
  <si>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</si>
  <si>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</si>
  <si>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</si>
  <si>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</si>
  <si>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</si>
  <si>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</si>
  <si>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</si>
  <si>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customers support clean energy through a surcharge on their bill.</t>
    </r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</si>
  <si>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</si>
  <si>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</si>
  <si>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</si>
  <si>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</si>
  <si>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</si>
  <si>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</si>
  <si>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</si>
  <si>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Peoples Power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</si>
  <si>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</si>
  <si>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</si>
  <si>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</si>
  <si>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</si>
  <si>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</si>
  <si>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</si>
  <si>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</si>
  <si>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</si>
  <si>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</si>
  <si>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</si>
  <si>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Data as of June 30, 2013</t>
  </si>
  <si>
    <t>Dated 07/03/2013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</si>
</sst>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9" fillId="0" borderId="12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showZeros="0" tabSelected="1" zoomScaleNormal="100" workbookViewId="0"/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62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43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26" t="s">
        <v>101</v>
      </c>
      <c r="B5" s="30"/>
      <c r="C5" s="30"/>
      <c r="D5" s="77"/>
      <c r="E5" s="77"/>
      <c r="F5" s="77"/>
      <c r="G5" s="30"/>
      <c r="H5" s="30"/>
      <c r="I5" s="30"/>
    </row>
    <row r="7" spans="1:9" ht="18" customHeight="1" x14ac:dyDescent="0.25">
      <c r="A7" s="33" t="s">
        <v>46</v>
      </c>
      <c r="B7" s="34"/>
      <c r="C7" s="34"/>
      <c r="D7" s="34"/>
      <c r="E7" s="34"/>
      <c r="F7" s="34"/>
      <c r="G7" s="35"/>
      <c r="H7" s="30"/>
      <c r="I7" s="30"/>
    </row>
    <row r="8" spans="1:9" s="40" customFormat="1" ht="18" customHeight="1" x14ac:dyDescent="0.25">
      <c r="A8" s="3"/>
      <c r="B8" s="36" t="s">
        <v>47</v>
      </c>
      <c r="C8" s="37"/>
      <c r="D8" s="36" t="s">
        <v>8</v>
      </c>
      <c r="E8" s="38"/>
      <c r="F8" s="36" t="s">
        <v>9</v>
      </c>
      <c r="G8" s="39"/>
      <c r="H8" s="36" t="s">
        <v>49</v>
      </c>
      <c r="I8" s="38"/>
    </row>
    <row r="9" spans="1:9" ht="18" customHeight="1" x14ac:dyDescent="0.25">
      <c r="A9" s="41"/>
      <c r="B9" s="42" t="s">
        <v>11</v>
      </c>
      <c r="C9" s="43" t="s">
        <v>36</v>
      </c>
      <c r="D9" s="42" t="str">
        <f>B9</f>
        <v>MWh</v>
      </c>
      <c r="E9" s="43" t="s">
        <v>36</v>
      </c>
      <c r="F9" s="42" t="str">
        <f>D9</f>
        <v>MWh</v>
      </c>
      <c r="G9" s="43" t="s">
        <v>36</v>
      </c>
      <c r="H9" s="42" t="str">
        <f>F9</f>
        <v>MWh</v>
      </c>
      <c r="I9" s="43" t="s">
        <v>35</v>
      </c>
    </row>
    <row r="10" spans="1:9" ht="18" customHeight="1" x14ac:dyDescent="0.25">
      <c r="A10" s="44" t="s">
        <v>13</v>
      </c>
      <c r="B10" s="75">
        <v>103561</v>
      </c>
      <c r="C10" s="45">
        <f>IF(B10=0,0,B10/$B$12)</f>
        <v>0.53580260965842652</v>
      </c>
      <c r="D10" s="75">
        <v>136145</v>
      </c>
      <c r="E10" s="45">
        <f>IF(D10=0,0,D10/$D$12)</f>
        <v>0.7700726830509913</v>
      </c>
      <c r="F10" s="75">
        <v>113095</v>
      </c>
      <c r="G10" s="45">
        <f>IF(F10=0,0,F10/$F$12)</f>
        <v>0.96245330065442913</v>
      </c>
      <c r="H10" s="46">
        <f>IF(B10+D10+F10=0,0,B10+D10+F10)</f>
        <v>352801</v>
      </c>
      <c r="I10" s="45">
        <f>IF(H10=0,0,H10/$H$12)</f>
        <v>0.72356968235216901</v>
      </c>
    </row>
    <row r="11" spans="1:9" ht="18" customHeight="1" x14ac:dyDescent="0.25">
      <c r="A11" s="44" t="s">
        <v>15</v>
      </c>
      <c r="B11" s="76">
        <v>89721</v>
      </c>
      <c r="C11" s="45">
        <f>IF(B11=0,0,B11/$B$12)</f>
        <v>0.46419739034157348</v>
      </c>
      <c r="D11" s="76">
        <v>40650</v>
      </c>
      <c r="E11" s="45">
        <f>IF(D11=0,0,D11/$D$12)</f>
        <v>0.22992731694900873</v>
      </c>
      <c r="F11" s="76">
        <v>4412</v>
      </c>
      <c r="G11" s="45">
        <f>IF(F11=0,0,F11/$F$12)</f>
        <v>3.7546699345570901E-2</v>
      </c>
      <c r="H11" s="46">
        <f>IF(B11+D11+F11=0,0,B11+D11+F11)</f>
        <v>134783</v>
      </c>
      <c r="I11" s="45">
        <f>IF(H11=0,0,H11/$H$12)</f>
        <v>0.27643031764783094</v>
      </c>
    </row>
    <row r="12" spans="1:9" ht="18" customHeight="1" x14ac:dyDescent="0.25">
      <c r="A12" s="44" t="s">
        <v>16</v>
      </c>
      <c r="B12" s="47">
        <f>SUM(B10:B11)</f>
        <v>193282</v>
      </c>
      <c r="C12" s="48"/>
      <c r="D12" s="47">
        <f>SUM(D10:D11)</f>
        <v>176795</v>
      </c>
      <c r="E12" s="48"/>
      <c r="F12" s="47">
        <f>SUM(F10:F11)</f>
        <v>117507</v>
      </c>
      <c r="G12" s="48"/>
      <c r="H12" s="47">
        <f>IF(H10+H11=0,0,H10+H11)</f>
        <v>487584</v>
      </c>
      <c r="I12" s="49"/>
    </row>
    <row r="13" spans="1:9" ht="18" customHeight="1" x14ac:dyDescent="0.25">
      <c r="A13" s="112" t="str">
        <f>"As the above table shows, "&amp;TEXT(H10,"0,000")&amp; " MWh, or "&amp;TEXT(I10,"0.0%")&amp;" of UI's total load is served by electric suppliers"</f>
        <v>As the above table shows, 352,801 MWh, or 72.4% of UI's total load is served by electric suppliers</v>
      </c>
      <c r="H13" s="32"/>
    </row>
    <row r="14" spans="1:9" ht="18" customHeight="1" x14ac:dyDescent="0.25">
      <c r="A14" s="112" t="str">
        <f>"while "&amp;TEXT(H11,"0,000")&amp;" MHh, or "&amp;TEXT(I11,"0.0%")&amp;" of the load is provided under Standard Service or Last Resort service through UI."</f>
        <v>while 134,783 MHh, or 27.6%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9" ht="13.8" x14ac:dyDescent="0.25">
      <c r="G15" s="54"/>
      <c r="H15" s="32"/>
    </row>
    <row r="16" spans="1:9" ht="18" customHeight="1" x14ac:dyDescent="0.25">
      <c r="A16" s="33" t="s">
        <v>45</v>
      </c>
      <c r="B16" s="34"/>
      <c r="C16" s="34"/>
      <c r="D16" s="34"/>
      <c r="E16" s="34"/>
      <c r="F16" s="34"/>
      <c r="G16" s="55"/>
      <c r="H16" s="29"/>
      <c r="I16" s="30"/>
    </row>
    <row r="17" spans="1:10" ht="18" customHeight="1" x14ac:dyDescent="0.25">
      <c r="A17" s="44"/>
      <c r="B17" s="36" t="s">
        <v>47</v>
      </c>
      <c r="C17" s="56"/>
      <c r="D17" s="36" t="s">
        <v>8</v>
      </c>
      <c r="E17" s="57"/>
      <c r="F17" s="36" t="s">
        <v>9</v>
      </c>
      <c r="G17" s="39"/>
      <c r="H17" s="36" t="s">
        <v>49</v>
      </c>
      <c r="I17" s="38"/>
    </row>
    <row r="18" spans="1:10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D18</f>
        <v>Customers</v>
      </c>
      <c r="G18" s="43" t="s">
        <v>36</v>
      </c>
      <c r="H18" s="42" t="str">
        <f>F18</f>
        <v>Customers</v>
      </c>
      <c r="I18" s="43" t="s">
        <v>35</v>
      </c>
    </row>
    <row r="19" spans="1:10" ht="18" customHeight="1" x14ac:dyDescent="0.25">
      <c r="A19" s="44" t="str">
        <f>A10</f>
        <v>Suppliers</v>
      </c>
      <c r="B19" s="75">
        <v>142772</v>
      </c>
      <c r="C19" s="45">
        <f>IF(B19=0,0,B19/$B$21)</f>
        <v>0.48662042638763442</v>
      </c>
      <c r="D19" s="75">
        <v>22427</v>
      </c>
      <c r="E19" s="58">
        <f>IF(D19=0,0,D19/$D$21)</f>
        <v>0.58116092251878726</v>
      </c>
      <c r="F19" s="75">
        <v>250</v>
      </c>
      <c r="G19" s="45">
        <f>IF(F19=0,0,F19/$F$21)</f>
        <v>0.92936802973977695</v>
      </c>
      <c r="H19" s="46">
        <f>IF(B19+D19+F19=0,0,B19+D19+F19)</f>
        <v>165449</v>
      </c>
      <c r="I19" s="45">
        <f>IF(H19=0,0,H19/$H$21)</f>
        <v>0.49795939251295696</v>
      </c>
      <c r="J19" s="59"/>
    </row>
    <row r="20" spans="1:10" ht="18" customHeight="1" x14ac:dyDescent="0.25">
      <c r="A20" s="44" t="str">
        <f>A11</f>
        <v>UI</v>
      </c>
      <c r="B20" s="76">
        <v>150623</v>
      </c>
      <c r="C20" s="45">
        <f>IF(B20=0,0,B20/$B$21)</f>
        <v>0.51337957361236564</v>
      </c>
      <c r="D20" s="76">
        <v>16163</v>
      </c>
      <c r="E20" s="58">
        <f>IF(D20=0,0,D20/$D$21)</f>
        <v>0.41883907748121274</v>
      </c>
      <c r="F20" s="76">
        <v>19</v>
      </c>
      <c r="G20" s="45">
        <f>IF(F20=0,0,F20/$F$21)</f>
        <v>7.0631970260223054E-2</v>
      </c>
      <c r="H20" s="46">
        <f>IF(B20+D20+F20=0,0,B20+D20+F20)</f>
        <v>166805</v>
      </c>
      <c r="I20" s="45">
        <f>IF(H20=0,0,H20/$H$21)</f>
        <v>0.50204060748704304</v>
      </c>
    </row>
    <row r="21" spans="1:10" ht="18" customHeight="1" x14ac:dyDescent="0.25">
      <c r="A21" s="44" t="str">
        <f>A12</f>
        <v xml:space="preserve">     Total</v>
      </c>
      <c r="B21" s="47">
        <f>SUM(B19:B20)</f>
        <v>293395</v>
      </c>
      <c r="C21" s="60"/>
      <c r="D21" s="47">
        <f>SUM(D19:D20)</f>
        <v>38590</v>
      </c>
      <c r="E21" s="48"/>
      <c r="F21" s="47">
        <f>SUM(F19:F20)</f>
        <v>269</v>
      </c>
      <c r="G21" s="48"/>
      <c r="H21" s="47">
        <f>IF(H19+H20=0,0,H19+H20)</f>
        <v>332254</v>
      </c>
      <c r="I21" s="49"/>
    </row>
    <row r="22" spans="1:10" ht="18" customHeight="1" x14ac:dyDescent="0.25">
      <c r="G22" s="54"/>
      <c r="H22" s="32"/>
    </row>
    <row r="23" spans="1:10" ht="18" customHeight="1" x14ac:dyDescent="0.25">
      <c r="A23" s="112" t="str">
        <f>"As the above table shows, "&amp;TEXT(H19,"0,000")&amp; " of UI's total customers, or "&amp;TEXT(I19,"0.0%")&amp;" are served by electric suppliers"</f>
        <v>As the above table shows, 165,449 of UI's total customers, or 49.8% are served by electric suppliers</v>
      </c>
      <c r="G23" s="54"/>
      <c r="H23" s="32"/>
    </row>
    <row r="24" spans="1:10" ht="18" customHeight="1" x14ac:dyDescent="0.25">
      <c r="A24" s="112" t="str">
        <f>"while "&amp;TEXT(H20,"0,000")&amp;" or "&amp;TEXT(I20,"0.0%")&amp;" of the customers continue to receive Standard Service or Last Resort service through UI."</f>
        <v>while 166,805 or 50.2%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0" ht="18" customHeight="1" x14ac:dyDescent="0.25">
      <c r="B25" s="32"/>
      <c r="C25" s="32"/>
      <c r="D25" s="63"/>
      <c r="E25" s="63"/>
      <c r="F25" s="64"/>
      <c r="G25" s="64"/>
      <c r="H25" s="32"/>
    </row>
    <row r="27" spans="1:10" ht="13.8" x14ac:dyDescent="0.25">
      <c r="A27" s="71" t="s">
        <v>44</v>
      </c>
    </row>
    <row r="28" spans="1:10" ht="13.8" x14ac:dyDescent="0.25">
      <c r="A28" s="71" t="s">
        <v>48</v>
      </c>
    </row>
    <row r="29" spans="1:10" ht="13.8" x14ac:dyDescent="0.25">
      <c r="A29" s="71" t="s">
        <v>87</v>
      </c>
    </row>
    <row r="30" spans="1:10" x14ac:dyDescent="0.25">
      <c r="A30" s="72" t="s">
        <v>33</v>
      </c>
    </row>
    <row r="31" spans="1:10" x14ac:dyDescent="0.25">
      <c r="A31" s="72" t="s">
        <v>40</v>
      </c>
    </row>
    <row r="34" spans="1:1" x14ac:dyDescent="0.25">
      <c r="A34" s="114" t="s">
        <v>102</v>
      </c>
    </row>
  </sheetData>
  <phoneticPr fontId="0" type="noConversion"/>
  <printOptions horizontalCentered="1"/>
  <pageMargins left="0.5" right="0.5" top="0.5" bottom="0.25" header="0" footer="0"/>
  <pageSetup scale="79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showZeros="0" topLeftCell="A4" zoomScaleNormal="100" workbookViewId="0">
      <selection activeCell="B7" sqref="B7"/>
    </sheetView>
  </sheetViews>
  <sheetFormatPr defaultColWidth="9.109375" defaultRowHeight="13.2" x14ac:dyDescent="0.25"/>
  <cols>
    <col min="1" max="1" width="4.44140625" style="1" customWidth="1"/>
    <col min="2" max="2" width="37.441406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June 30, 2013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41</v>
      </c>
    </row>
    <row r="8" spans="1:11" ht="14.25" customHeight="1" x14ac:dyDescent="0.25">
      <c r="A8" s="23">
        <v>1</v>
      </c>
      <c r="B8" s="24" t="s">
        <v>99</v>
      </c>
      <c r="C8" s="78">
        <v>36</v>
      </c>
      <c r="D8" s="78">
        <v>10</v>
      </c>
      <c r="E8" s="23">
        <f>IF(SUM(C8:D8)=0,0,SUM(C8:D8))</f>
        <v>46</v>
      </c>
      <c r="F8" s="25">
        <f>IF(E8=0,"",E8/$E$54)</f>
        <v>2.7803129665334938E-4</v>
      </c>
    </row>
    <row r="9" spans="1:11" ht="14.25" customHeight="1" x14ac:dyDescent="0.25">
      <c r="A9" s="23">
        <v>2</v>
      </c>
      <c r="B9" s="24" t="s">
        <v>98</v>
      </c>
      <c r="C9" s="78">
        <v>675</v>
      </c>
      <c r="D9" s="78">
        <v>415</v>
      </c>
      <c r="E9" s="23">
        <f>IF(SUM(C9:D9)=0,0,SUM(C9:D9))</f>
        <v>1090</v>
      </c>
      <c r="F9" s="25">
        <f t="shared" ref="F9:F39" si="0">IF(E9=0,"",E9/$E$54)</f>
        <v>6.5881328989598007E-3</v>
      </c>
    </row>
    <row r="10" spans="1:11" ht="14.25" customHeight="1" x14ac:dyDescent="0.25">
      <c r="A10" s="23">
        <v>3</v>
      </c>
      <c r="B10" s="24" t="s">
        <v>92</v>
      </c>
      <c r="C10" s="78">
        <v>3642</v>
      </c>
      <c r="D10" s="78">
        <v>420</v>
      </c>
      <c r="E10" s="23">
        <f>IF(SUM(C10:D10)=0,0,SUM(C10:D10))</f>
        <v>4062</v>
      </c>
      <c r="F10" s="25">
        <f t="shared" si="0"/>
        <v>2.4551372326215331E-2</v>
      </c>
    </row>
    <row r="11" spans="1:11" ht="14.25" customHeight="1" x14ac:dyDescent="0.25">
      <c r="A11" s="23">
        <v>4</v>
      </c>
      <c r="B11" s="24" t="s">
        <v>59</v>
      </c>
      <c r="C11" s="78">
        <v>4644</v>
      </c>
      <c r="D11" s="78">
        <v>191</v>
      </c>
      <c r="E11" s="23">
        <f t="shared" ref="E11:E53" si="1">IF(SUM(C11:D11)=0,0,SUM(C11:D11))</f>
        <v>4835</v>
      </c>
      <c r="F11" s="25">
        <f t="shared" si="0"/>
        <v>2.9223506941716177E-2</v>
      </c>
    </row>
    <row r="12" spans="1:11" ht="14.25" customHeight="1" x14ac:dyDescent="0.25">
      <c r="A12" s="23">
        <v>5</v>
      </c>
      <c r="B12" s="24" t="s">
        <v>58</v>
      </c>
      <c r="C12" s="78"/>
      <c r="D12" s="78">
        <v>0</v>
      </c>
      <c r="E12" s="23">
        <f t="shared" si="1"/>
        <v>0</v>
      </c>
      <c r="F12" s="25" t="str">
        <f t="shared" si="0"/>
        <v/>
      </c>
    </row>
    <row r="13" spans="1:11" ht="14.25" customHeight="1" x14ac:dyDescent="0.25">
      <c r="A13" s="23">
        <v>6</v>
      </c>
      <c r="B13" s="24" t="s">
        <v>10</v>
      </c>
      <c r="C13" s="78">
        <v>3956</v>
      </c>
      <c r="D13" s="78">
        <v>52</v>
      </c>
      <c r="E13" s="23">
        <f t="shared" si="1"/>
        <v>4008</v>
      </c>
      <c r="F13" s="25">
        <f t="shared" si="0"/>
        <v>2.4224987760578787E-2</v>
      </c>
    </row>
    <row r="14" spans="1:11" ht="14.25" customHeight="1" x14ac:dyDescent="0.25">
      <c r="A14" s="23">
        <v>7</v>
      </c>
      <c r="B14" s="24" t="s">
        <v>12</v>
      </c>
      <c r="C14" s="78">
        <v>8624</v>
      </c>
      <c r="D14" s="78">
        <v>1423</v>
      </c>
      <c r="E14" s="23">
        <f t="shared" si="1"/>
        <v>10047</v>
      </c>
      <c r="F14" s="25">
        <f t="shared" si="0"/>
        <v>6.0725661684265242E-2</v>
      </c>
    </row>
    <row r="15" spans="1:11" ht="14.25" customHeight="1" x14ac:dyDescent="0.25">
      <c r="A15" s="23">
        <v>8</v>
      </c>
      <c r="B15" s="24" t="s">
        <v>14</v>
      </c>
      <c r="C15" s="78">
        <v>397</v>
      </c>
      <c r="D15" s="78">
        <v>1218</v>
      </c>
      <c r="E15" s="23">
        <f t="shared" si="1"/>
        <v>1615</v>
      </c>
      <c r="F15" s="25">
        <f t="shared" si="0"/>
        <v>9.761316175981723E-3</v>
      </c>
    </row>
    <row r="16" spans="1:11" ht="14.25" customHeight="1" x14ac:dyDescent="0.25">
      <c r="A16" s="23">
        <v>9</v>
      </c>
      <c r="B16" s="24" t="s">
        <v>94</v>
      </c>
      <c r="C16" s="78">
        <v>10352</v>
      </c>
      <c r="D16" s="78">
        <v>383</v>
      </c>
      <c r="E16" s="23">
        <f>IF(SUM(C16:D16)=0,0,SUM(C16:D16))</f>
        <v>10735</v>
      </c>
      <c r="F16" s="25">
        <f t="shared" si="0"/>
        <v>6.4884042816819684E-2</v>
      </c>
    </row>
    <row r="17" spans="1:6" ht="14.25" customHeight="1" x14ac:dyDescent="0.25">
      <c r="A17" s="23">
        <v>10</v>
      </c>
      <c r="B17" s="24" t="s">
        <v>91</v>
      </c>
      <c r="C17" s="78">
        <v>235</v>
      </c>
      <c r="D17" s="78">
        <v>69</v>
      </c>
      <c r="E17" s="23">
        <f t="shared" si="1"/>
        <v>304</v>
      </c>
      <c r="F17" s="25">
        <f t="shared" si="0"/>
        <v>1.8374242213612653E-3</v>
      </c>
    </row>
    <row r="18" spans="1:6" ht="14.25" customHeight="1" x14ac:dyDescent="0.25">
      <c r="A18" s="23">
        <v>11</v>
      </c>
      <c r="B18" s="24" t="s">
        <v>57</v>
      </c>
      <c r="C18" s="78">
        <v>48</v>
      </c>
      <c r="D18" s="78">
        <v>1168</v>
      </c>
      <c r="E18" s="23">
        <f t="shared" si="1"/>
        <v>1216</v>
      </c>
      <c r="F18" s="25">
        <f t="shared" si="0"/>
        <v>7.3496968854450612E-3</v>
      </c>
    </row>
    <row r="19" spans="1:6" ht="14.25" customHeight="1" x14ac:dyDescent="0.25">
      <c r="A19" s="23">
        <v>12</v>
      </c>
      <c r="B19" s="24" t="s">
        <v>17</v>
      </c>
      <c r="C19" s="78">
        <v>18916</v>
      </c>
      <c r="D19" s="78">
        <v>3925</v>
      </c>
      <c r="E19" s="23">
        <f t="shared" si="1"/>
        <v>22841</v>
      </c>
      <c r="F19" s="25">
        <f t="shared" si="0"/>
        <v>0.13805462710563376</v>
      </c>
    </row>
    <row r="20" spans="1:6" ht="14.25" customHeight="1" x14ac:dyDescent="0.25">
      <c r="A20" s="23">
        <v>13</v>
      </c>
      <c r="B20" s="79" t="s">
        <v>54</v>
      </c>
      <c r="C20" s="78">
        <v>7319</v>
      </c>
      <c r="D20" s="78">
        <v>1016</v>
      </c>
      <c r="E20" s="23">
        <f t="shared" si="1"/>
        <v>8335</v>
      </c>
      <c r="F20" s="25">
        <f t="shared" si="0"/>
        <v>5.0378062121862327E-2</v>
      </c>
    </row>
    <row r="21" spans="1:6" ht="14.25" customHeight="1" x14ac:dyDescent="0.25">
      <c r="A21" s="23">
        <v>14</v>
      </c>
      <c r="B21" s="24" t="s">
        <v>67</v>
      </c>
      <c r="C21" s="78">
        <v>11036</v>
      </c>
      <c r="D21" s="78">
        <v>906</v>
      </c>
      <c r="E21" s="23">
        <f t="shared" si="1"/>
        <v>11942</v>
      </c>
      <c r="F21" s="25">
        <f t="shared" si="0"/>
        <v>7.217934227465865E-2</v>
      </c>
    </row>
    <row r="22" spans="1:6" ht="14.25" customHeight="1" x14ac:dyDescent="0.25">
      <c r="A22" s="23">
        <v>15</v>
      </c>
      <c r="B22" s="79" t="s">
        <v>50</v>
      </c>
      <c r="C22" s="78">
        <v>5737</v>
      </c>
      <c r="D22" s="78">
        <v>666</v>
      </c>
      <c r="E22" s="23">
        <f t="shared" si="1"/>
        <v>6403</v>
      </c>
      <c r="F22" s="25">
        <f t="shared" si="0"/>
        <v>3.8700747662421653E-2</v>
      </c>
    </row>
    <row r="23" spans="1:6" ht="14.25" customHeight="1" x14ac:dyDescent="0.25">
      <c r="A23" s="23">
        <v>16</v>
      </c>
      <c r="B23" s="24" t="s">
        <v>18</v>
      </c>
      <c r="C23" s="78">
        <v>192</v>
      </c>
      <c r="D23" s="78">
        <v>885</v>
      </c>
      <c r="E23" s="23">
        <f t="shared" si="1"/>
        <v>1077</v>
      </c>
      <c r="F23" s="25">
        <f t="shared" si="0"/>
        <v>6.5095588368621147E-3</v>
      </c>
    </row>
    <row r="24" spans="1:6" ht="14.25" customHeight="1" x14ac:dyDescent="0.25">
      <c r="A24" s="23">
        <v>17</v>
      </c>
      <c r="B24" s="24" t="s">
        <v>19</v>
      </c>
      <c r="C24" s="78">
        <v>12</v>
      </c>
      <c r="D24" s="78">
        <v>84</v>
      </c>
      <c r="E24" s="23">
        <f t="shared" si="1"/>
        <v>96</v>
      </c>
      <c r="F24" s="25">
        <f t="shared" si="0"/>
        <v>5.8023922779829431E-4</v>
      </c>
    </row>
    <row r="25" spans="1:6" ht="14.25" customHeight="1" x14ac:dyDescent="0.25">
      <c r="A25" s="23">
        <v>18</v>
      </c>
      <c r="B25" s="24" t="s">
        <v>66</v>
      </c>
      <c r="C25" s="78">
        <v>550</v>
      </c>
      <c r="D25" s="78">
        <v>97</v>
      </c>
      <c r="E25" s="23">
        <f t="shared" si="1"/>
        <v>647</v>
      </c>
      <c r="F25" s="25">
        <f t="shared" si="0"/>
        <v>3.9105706290155882E-3</v>
      </c>
    </row>
    <row r="26" spans="1:6" ht="14.25" customHeight="1" x14ac:dyDescent="0.25">
      <c r="A26" s="23">
        <v>19</v>
      </c>
      <c r="B26" s="24" t="s">
        <v>20</v>
      </c>
      <c r="C26" s="78">
        <v>48</v>
      </c>
      <c r="D26" s="78">
        <v>506</v>
      </c>
      <c r="E26" s="23">
        <f t="shared" si="1"/>
        <v>554</v>
      </c>
      <c r="F26" s="25">
        <f t="shared" si="0"/>
        <v>3.3484638770859901E-3</v>
      </c>
    </row>
    <row r="27" spans="1:6" ht="14.25" customHeight="1" x14ac:dyDescent="0.25">
      <c r="A27" s="23">
        <v>20</v>
      </c>
      <c r="B27" s="24" t="s">
        <v>100</v>
      </c>
      <c r="C27" s="78">
        <v>23</v>
      </c>
      <c r="D27" s="78"/>
      <c r="E27" s="23">
        <f>IF(SUM(C27:D27)=0,0,SUM(C27:D27))</f>
        <v>23</v>
      </c>
      <c r="F27" s="25">
        <f t="shared" si="0"/>
        <v>1.3901564832667469E-4</v>
      </c>
    </row>
    <row r="28" spans="1:6" ht="14.25" customHeight="1" x14ac:dyDescent="0.25">
      <c r="A28" s="23">
        <v>21</v>
      </c>
      <c r="B28" s="24" t="s">
        <v>65</v>
      </c>
      <c r="C28" s="78">
        <v>1034</v>
      </c>
      <c r="D28" s="78">
        <v>48</v>
      </c>
      <c r="E28" s="23">
        <f t="shared" si="1"/>
        <v>1082</v>
      </c>
      <c r="F28" s="25">
        <f t="shared" si="0"/>
        <v>6.539779629976609E-3</v>
      </c>
    </row>
    <row r="29" spans="1:6" ht="14.25" customHeight="1" x14ac:dyDescent="0.25">
      <c r="A29" s="23">
        <v>22</v>
      </c>
      <c r="B29" s="24" t="s">
        <v>85</v>
      </c>
      <c r="C29" s="78">
        <v>535</v>
      </c>
      <c r="D29" s="78">
        <v>24</v>
      </c>
      <c r="E29" s="23">
        <f>IF(SUM(C29:D29)=0,0,SUM(C29:D29))</f>
        <v>559</v>
      </c>
      <c r="F29" s="25">
        <f t="shared" si="0"/>
        <v>3.3786846702004848E-3</v>
      </c>
    </row>
    <row r="30" spans="1:6" ht="14.25" customHeight="1" x14ac:dyDescent="0.25">
      <c r="A30" s="23">
        <v>23</v>
      </c>
      <c r="B30" s="24" t="s">
        <v>21</v>
      </c>
      <c r="C30" s="78">
        <v>214</v>
      </c>
      <c r="D30" s="78">
        <v>1654</v>
      </c>
      <c r="E30" s="23">
        <f t="shared" si="1"/>
        <v>1868</v>
      </c>
      <c r="F30" s="25">
        <f t="shared" si="0"/>
        <v>1.1290488307575144E-2</v>
      </c>
    </row>
    <row r="31" spans="1:6" ht="14.25" customHeight="1" x14ac:dyDescent="0.25">
      <c r="A31" s="23">
        <v>24</v>
      </c>
      <c r="B31" s="24" t="s">
        <v>22</v>
      </c>
      <c r="C31" s="78">
        <v>0</v>
      </c>
      <c r="D31" s="78"/>
      <c r="E31" s="23">
        <f t="shared" si="1"/>
        <v>0</v>
      </c>
      <c r="F31" s="25" t="str">
        <f t="shared" si="0"/>
        <v/>
      </c>
    </row>
    <row r="32" spans="1:6" ht="14.25" customHeight="1" x14ac:dyDescent="0.25">
      <c r="A32" s="23">
        <v>25</v>
      </c>
      <c r="B32" s="24" t="s">
        <v>23</v>
      </c>
      <c r="C32" s="78">
        <v>28</v>
      </c>
      <c r="D32" s="78">
        <v>474</v>
      </c>
      <c r="E32" s="23">
        <f t="shared" si="1"/>
        <v>502</v>
      </c>
      <c r="F32" s="25">
        <f t="shared" si="0"/>
        <v>3.0341676286952473E-3</v>
      </c>
    </row>
    <row r="33" spans="1:6" ht="14.25" customHeight="1" x14ac:dyDescent="0.25">
      <c r="A33" s="23">
        <v>26</v>
      </c>
      <c r="B33" s="24" t="s">
        <v>86</v>
      </c>
      <c r="C33" s="78">
        <v>0</v>
      </c>
      <c r="D33" s="78">
        <v>29</v>
      </c>
      <c r="E33" s="23">
        <f>IF(SUM(C33:D33)=0,0,SUM(C33:D33))</f>
        <v>29</v>
      </c>
      <c r="F33" s="25">
        <f t="shared" si="0"/>
        <v>1.7528060006406808E-4</v>
      </c>
    </row>
    <row r="34" spans="1:6" ht="14.25" customHeight="1" x14ac:dyDescent="0.25">
      <c r="A34" s="23">
        <v>27</v>
      </c>
      <c r="B34" s="24" t="s">
        <v>55</v>
      </c>
      <c r="C34" s="78">
        <v>18307</v>
      </c>
      <c r="D34" s="78">
        <v>665</v>
      </c>
      <c r="E34" s="23">
        <f t="shared" si="1"/>
        <v>18972</v>
      </c>
      <c r="F34" s="25">
        <f t="shared" si="0"/>
        <v>0.11466977739363791</v>
      </c>
    </row>
    <row r="35" spans="1:6" ht="14.25" customHeight="1" x14ac:dyDescent="0.25">
      <c r="A35" s="23">
        <v>28</v>
      </c>
      <c r="B35" s="24" t="s">
        <v>64</v>
      </c>
      <c r="C35" s="78">
        <v>1563</v>
      </c>
      <c r="D35" s="78">
        <v>12</v>
      </c>
      <c r="E35" s="23">
        <f>IF(SUM(C35:D35)=0,0,SUM(C35:D35))</f>
        <v>1575</v>
      </c>
      <c r="F35" s="25">
        <f t="shared" si="0"/>
        <v>9.519549831065767E-3</v>
      </c>
    </row>
    <row r="36" spans="1:6" ht="14.25" customHeight="1" x14ac:dyDescent="0.25">
      <c r="A36" s="23">
        <v>29</v>
      </c>
      <c r="B36" s="24" t="s">
        <v>90</v>
      </c>
      <c r="C36" s="78">
        <v>83</v>
      </c>
      <c r="D36" s="78">
        <v>21</v>
      </c>
      <c r="E36" s="23">
        <f>IF(SUM(C36:D36)=0,0,SUM(C36:D36))</f>
        <v>104</v>
      </c>
      <c r="F36" s="25">
        <f t="shared" si="0"/>
        <v>6.285924967814855E-4</v>
      </c>
    </row>
    <row r="37" spans="1:6" ht="14.25" customHeight="1" x14ac:dyDescent="0.25">
      <c r="A37" s="23">
        <v>30</v>
      </c>
      <c r="B37" s="115" t="s">
        <v>96</v>
      </c>
      <c r="C37" s="78">
        <v>200</v>
      </c>
      <c r="D37" s="78">
        <v>5</v>
      </c>
      <c r="E37" s="23">
        <f>IF(SUM(C37:D37)=0,0,SUM(C37:D37))</f>
        <v>205</v>
      </c>
      <c r="F37" s="25">
        <f t="shared" si="0"/>
        <v>1.2390525176942744E-3</v>
      </c>
    </row>
    <row r="38" spans="1:6" ht="14.25" customHeight="1" x14ac:dyDescent="0.25">
      <c r="A38" s="23">
        <v>31</v>
      </c>
      <c r="B38" s="24" t="s">
        <v>25</v>
      </c>
      <c r="C38" s="78">
        <v>19883</v>
      </c>
      <c r="D38" s="78">
        <v>1319</v>
      </c>
      <c r="E38" s="23">
        <f t="shared" si="1"/>
        <v>21202</v>
      </c>
      <c r="F38" s="25">
        <f t="shared" si="0"/>
        <v>0.12814825112270248</v>
      </c>
    </row>
    <row r="39" spans="1:6" ht="14.25" customHeight="1" x14ac:dyDescent="0.25">
      <c r="A39" s="23">
        <v>32</v>
      </c>
      <c r="B39" s="24" t="s">
        <v>61</v>
      </c>
      <c r="C39" s="78">
        <v>6</v>
      </c>
      <c r="D39" s="78">
        <v>0</v>
      </c>
      <c r="E39" s="23">
        <f t="shared" si="1"/>
        <v>6</v>
      </c>
      <c r="F39" s="25">
        <f t="shared" si="0"/>
        <v>3.6264951737393394E-5</v>
      </c>
    </row>
    <row r="40" spans="1:6" ht="14.25" customHeight="1" x14ac:dyDescent="0.25">
      <c r="A40" s="23">
        <v>33</v>
      </c>
      <c r="B40" s="115" t="s">
        <v>97</v>
      </c>
      <c r="C40" s="78">
        <v>1</v>
      </c>
      <c r="D40" s="78">
        <v>46</v>
      </c>
      <c r="E40" s="23">
        <f>IF(SUM(C40:D40)=0,0,SUM(C40:D40))</f>
        <v>47</v>
      </c>
      <c r="F40" s="25">
        <f>IF(E40=0,"",E40/$E$54)</f>
        <v>2.8407545527624829E-4</v>
      </c>
    </row>
    <row r="41" spans="1:6" ht="14.25" customHeight="1" x14ac:dyDescent="0.25">
      <c r="A41" s="23">
        <v>34</v>
      </c>
      <c r="B41" s="82" t="s">
        <v>53</v>
      </c>
      <c r="C41" s="78">
        <v>0</v>
      </c>
      <c r="D41" s="78">
        <v>0</v>
      </c>
      <c r="E41" s="23">
        <f t="shared" si="1"/>
        <v>0</v>
      </c>
      <c r="F41" s="25" t="str">
        <f t="shared" ref="F41:F53" si="2">IF(E41=0,"",E41/$E$54)</f>
        <v/>
      </c>
    </row>
    <row r="42" spans="1:6" ht="14.25" customHeight="1" x14ac:dyDescent="0.25">
      <c r="A42" s="23">
        <v>35</v>
      </c>
      <c r="B42" s="24" t="s">
        <v>26</v>
      </c>
      <c r="C42" s="78">
        <v>24</v>
      </c>
      <c r="D42" s="78">
        <v>2189</v>
      </c>
      <c r="E42" s="23">
        <f t="shared" si="1"/>
        <v>2213</v>
      </c>
      <c r="F42" s="25">
        <f t="shared" si="2"/>
        <v>1.3375723032475265E-2</v>
      </c>
    </row>
    <row r="43" spans="1:6" ht="14.25" customHeight="1" x14ac:dyDescent="0.25">
      <c r="A43" s="23">
        <v>36</v>
      </c>
      <c r="B43" s="24" t="s">
        <v>60</v>
      </c>
      <c r="C43" s="78">
        <v>0</v>
      </c>
      <c r="D43" s="78">
        <v>1</v>
      </c>
      <c r="E43" s="23">
        <f>IF(SUM(C43:D43)=0,0,SUM(C43:D43))</f>
        <v>1</v>
      </c>
      <c r="F43" s="25">
        <f t="shared" si="2"/>
        <v>6.044158622898899E-6</v>
      </c>
    </row>
    <row r="44" spans="1:6" x14ac:dyDescent="0.25">
      <c r="A44" s="23">
        <v>37</v>
      </c>
      <c r="B44" s="24" t="s">
        <v>63</v>
      </c>
      <c r="C44" s="78">
        <v>1251</v>
      </c>
      <c r="D44" s="78">
        <v>180</v>
      </c>
      <c r="E44" s="23">
        <f>IF(SUM(C44:D44)=0,0,SUM(C44:D44))</f>
        <v>1431</v>
      </c>
      <c r="F44" s="25">
        <f t="shared" si="2"/>
        <v>8.6491909893683244E-3</v>
      </c>
    </row>
    <row r="45" spans="1:6" x14ac:dyDescent="0.25">
      <c r="A45" s="23">
        <v>38</v>
      </c>
      <c r="B45" s="24" t="s">
        <v>56</v>
      </c>
      <c r="C45" s="78">
        <v>9452</v>
      </c>
      <c r="D45" s="78">
        <v>581</v>
      </c>
      <c r="E45" s="23">
        <f t="shared" si="1"/>
        <v>10033</v>
      </c>
      <c r="F45" s="25">
        <f t="shared" si="2"/>
        <v>6.064104346354466E-2</v>
      </c>
    </row>
    <row r="46" spans="1:6" x14ac:dyDescent="0.25">
      <c r="A46" s="23">
        <v>39</v>
      </c>
      <c r="B46" s="24" t="s">
        <v>27</v>
      </c>
      <c r="C46" s="78">
        <v>23</v>
      </c>
      <c r="D46" s="78">
        <v>601</v>
      </c>
      <c r="E46" s="23">
        <f t="shared" si="1"/>
        <v>624</v>
      </c>
      <c r="F46" s="25">
        <f t="shared" si="2"/>
        <v>3.7715549806889132E-3</v>
      </c>
    </row>
    <row r="47" spans="1:6" x14ac:dyDescent="0.25">
      <c r="A47" s="23">
        <v>40</v>
      </c>
      <c r="B47" s="24" t="s">
        <v>93</v>
      </c>
      <c r="C47" s="78"/>
      <c r="D47" s="78">
        <v>15</v>
      </c>
      <c r="E47" s="23">
        <f>IF(SUM(C47:D47)=0,0,SUM(C47:D47))</f>
        <v>15</v>
      </c>
      <c r="F47" s="25">
        <f t="shared" si="2"/>
        <v>9.0662379343483485E-5</v>
      </c>
    </row>
    <row r="48" spans="1:6" x14ac:dyDescent="0.25">
      <c r="A48" s="23">
        <v>41</v>
      </c>
      <c r="B48" s="24" t="s">
        <v>95</v>
      </c>
      <c r="C48" s="78">
        <v>2303</v>
      </c>
      <c r="D48" s="78">
        <v>53</v>
      </c>
      <c r="E48" s="23">
        <f>IF(SUM(C48:D48)=0,0,SUM(C48:D48))</f>
        <v>2356</v>
      </c>
      <c r="F48" s="25">
        <f t="shared" si="2"/>
        <v>1.4240037715549807E-2</v>
      </c>
    </row>
    <row r="49" spans="1:6" x14ac:dyDescent="0.25">
      <c r="A49" s="23">
        <v>42</v>
      </c>
      <c r="B49" s="24" t="s">
        <v>28</v>
      </c>
      <c r="C49" s="78">
        <v>3</v>
      </c>
      <c r="D49" s="78">
        <v>569</v>
      </c>
      <c r="E49" s="23">
        <f t="shared" si="1"/>
        <v>572</v>
      </c>
      <c r="F49" s="25">
        <f t="shared" si="2"/>
        <v>3.4572587322981704E-3</v>
      </c>
    </row>
    <row r="50" spans="1:6" x14ac:dyDescent="0.25">
      <c r="A50" s="23">
        <v>43</v>
      </c>
      <c r="B50" s="24" t="s">
        <v>89</v>
      </c>
      <c r="C50" s="78">
        <v>0</v>
      </c>
      <c r="D50" s="78">
        <v>0</v>
      </c>
      <c r="E50" s="23">
        <f>IF(SUM(C50:D50)=0,0,SUM(C50:D50))</f>
        <v>0</v>
      </c>
      <c r="F50" s="25" t="str">
        <f t="shared" si="2"/>
        <v/>
      </c>
    </row>
    <row r="51" spans="1:6" x14ac:dyDescent="0.25">
      <c r="A51" s="23">
        <v>44</v>
      </c>
      <c r="B51" s="79" t="s">
        <v>52</v>
      </c>
      <c r="C51" s="78">
        <v>6950</v>
      </c>
      <c r="D51" s="78">
        <v>220</v>
      </c>
      <c r="E51" s="23">
        <f t="shared" si="1"/>
        <v>7170</v>
      </c>
      <c r="F51" s="25">
        <f t="shared" si="2"/>
        <v>4.3336617326185108E-2</v>
      </c>
    </row>
    <row r="52" spans="1:6" x14ac:dyDescent="0.25">
      <c r="A52" s="23">
        <v>45</v>
      </c>
      <c r="B52" s="79" t="s">
        <v>51</v>
      </c>
      <c r="C52" s="78">
        <v>3066</v>
      </c>
      <c r="D52" s="78">
        <v>327</v>
      </c>
      <c r="E52" s="23">
        <f t="shared" si="1"/>
        <v>3393</v>
      </c>
      <c r="F52" s="25">
        <f t="shared" si="2"/>
        <v>2.0507830207495966E-2</v>
      </c>
    </row>
    <row r="53" spans="1:6" ht="13.8" thickBot="1" x14ac:dyDescent="0.3">
      <c r="A53" s="23">
        <v>46</v>
      </c>
      <c r="B53" s="113" t="s">
        <v>88</v>
      </c>
      <c r="C53" s="80">
        <v>1404</v>
      </c>
      <c r="D53" s="80">
        <v>210</v>
      </c>
      <c r="E53" s="73">
        <f t="shared" si="1"/>
        <v>1614</v>
      </c>
      <c r="F53" s="81">
        <f t="shared" si="2"/>
        <v>9.7552720173588233E-3</v>
      </c>
    </row>
    <row r="54" spans="1:6" ht="13.8" thickTop="1" x14ac:dyDescent="0.25">
      <c r="B54" s="6" t="s">
        <v>29</v>
      </c>
      <c r="C54" s="74">
        <f>IF(SUM(C8:C53)=0,0,SUM(C8:C53))</f>
        <v>142772</v>
      </c>
      <c r="D54" s="74">
        <f>IF(SUM(D8:D53)=0,0,SUM(D8:D53))</f>
        <v>22677</v>
      </c>
      <c r="E54" s="74">
        <f>IF(SUM(E8:E53)=0,0,SUM(E8:E53))</f>
        <v>165449</v>
      </c>
      <c r="F54" s="83">
        <f>IF($E$54=0,0,E54/$E$54)</f>
        <v>1</v>
      </c>
    </row>
    <row r="55" spans="1:6" x14ac:dyDescent="0.25">
      <c r="A55" s="2" t="s">
        <v>33</v>
      </c>
      <c r="B55" s="19"/>
      <c r="C55" s="19"/>
      <c r="D55" s="19"/>
      <c r="E55" s="19"/>
    </row>
    <row r="56" spans="1:6" x14ac:dyDescent="0.25">
      <c r="A56" s="2" t="s">
        <v>38</v>
      </c>
      <c r="D56" s="19"/>
      <c r="E56" s="19"/>
    </row>
    <row r="57" spans="1:6" x14ac:dyDescent="0.25">
      <c r="A57" s="2" t="s">
        <v>39</v>
      </c>
      <c r="C57" s="12"/>
      <c r="D57" s="12"/>
      <c r="E57" s="12"/>
    </row>
    <row r="58" spans="1:6" x14ac:dyDescent="0.25">
      <c r="C58" s="12"/>
      <c r="D58" s="12"/>
      <c r="E58" s="12"/>
    </row>
    <row r="61" spans="1:6" x14ac:dyDescent="0.25">
      <c r="B61" s="1" t="str">
        <f>'Summary Load Customers '!A34</f>
        <v>Dated 07/03/2013</v>
      </c>
    </row>
  </sheetData>
  <phoneticPr fontId="0" type="noConversion"/>
  <printOptions horizontalCentered="1"/>
  <pageMargins left="0.5" right="0.5" top="0.5" bottom="0.25" header="0" footer="0"/>
  <pageSetup scale="97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5" zoomScaleNormal="100" zoomScalePageLayoutView="70" workbookViewId="0">
      <selection activeCell="A8" sqref="A8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84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83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June 30, 2013</v>
      </c>
      <c r="B5" s="30"/>
      <c r="C5" s="30"/>
      <c r="D5" s="77"/>
      <c r="E5" s="77"/>
      <c r="F5" s="77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75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81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42</v>
      </c>
      <c r="E10" s="57"/>
      <c r="F10" s="36" t="s">
        <v>49</v>
      </c>
      <c r="G10" s="38"/>
    </row>
    <row r="11" spans="1:9" ht="18" customHeight="1" x14ac:dyDescent="0.25">
      <c r="A11" s="41"/>
      <c r="B11" s="42" t="s">
        <v>24</v>
      </c>
      <c r="C11" s="43" t="s">
        <v>36</v>
      </c>
      <c r="D11" s="42" t="str">
        <f>B11</f>
        <v>Customers</v>
      </c>
      <c r="E11" s="43" t="s">
        <v>36</v>
      </c>
      <c r="F11" s="42" t="str">
        <f>B11</f>
        <v>Customers</v>
      </c>
      <c r="G11" s="43" t="s">
        <v>35</v>
      </c>
    </row>
    <row r="12" spans="1:9" ht="18" customHeight="1" x14ac:dyDescent="0.25">
      <c r="A12" s="44" t="s">
        <v>77</v>
      </c>
      <c r="B12" s="47">
        <f>REC_programs_detail!B22</f>
        <v>4701</v>
      </c>
      <c r="C12" s="48">
        <f>IF(B12=0,0,B12/'Summary Load Customers '!$B$21)</f>
        <v>1.6022767940830622E-2</v>
      </c>
      <c r="D12" s="47">
        <f>REC_programs_detail!C22</f>
        <v>49</v>
      </c>
      <c r="E12" s="48">
        <f>IF(D12=0,0,D12/('Summary Load Customers '!$D$21+'Summary Load Customers '!$F$21))</f>
        <v>1.2609691448570472E-3</v>
      </c>
      <c r="F12" s="47">
        <f>B12+D12</f>
        <v>4750</v>
      </c>
      <c r="G12" s="48">
        <f>IF(F12=0,0,F12/'Summary Load Customers '!$H$21)</f>
        <v>1.4296291391525761E-2</v>
      </c>
    </row>
    <row r="13" spans="1:9" ht="15.75" customHeight="1" x14ac:dyDescent="0.25">
      <c r="G13" s="54"/>
      <c r="H13" s="32"/>
    </row>
    <row r="14" spans="1:9" ht="15.75" customHeight="1" x14ac:dyDescent="0.25">
      <c r="A14" s="112" t="str">
        <f>"As the above table shows, "&amp;TEXT(F12,"0,000")&amp;" of UI's customers, or "&amp;TEXT(G12,"0.0%")&amp;" are participating in the CTCleanEnergyOptions Program."</f>
        <v>As the above table shows, 4,750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76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42</v>
      </c>
      <c r="E17" s="57"/>
      <c r="F17" s="36" t="s">
        <v>49</v>
      </c>
      <c r="G17" s="38"/>
    </row>
    <row r="18" spans="1:9" ht="18" customHeight="1" x14ac:dyDescent="0.25">
      <c r="A18" s="41"/>
      <c r="B18" s="42" t="s">
        <v>24</v>
      </c>
      <c r="C18" s="43" t="s">
        <v>36</v>
      </c>
      <c r="D18" s="42" t="str">
        <f>B18</f>
        <v>Customers</v>
      </c>
      <c r="E18" s="43" t="s">
        <v>36</v>
      </c>
      <c r="F18" s="42" t="str">
        <f>B18</f>
        <v>Customers</v>
      </c>
      <c r="G18" s="43" t="s">
        <v>35</v>
      </c>
    </row>
    <row r="19" spans="1:9" ht="18" customHeight="1" x14ac:dyDescent="0.25">
      <c r="A19" s="44" t="s">
        <v>78</v>
      </c>
      <c r="B19" s="47">
        <f>REC_programs_detail!B28</f>
        <v>1015</v>
      </c>
      <c r="C19" s="48">
        <f>IF(B19=0,0,B19/'Summary Load Customers '!$B$21)</f>
        <v>3.4594999914790642E-3</v>
      </c>
      <c r="D19" s="47">
        <f>REC_programs_detail!C28</f>
        <v>65</v>
      </c>
      <c r="E19" s="48">
        <f>IF(D19=0,0,D19/('Summary Load Customers '!$D$21+'Summary Load Customers '!$F$21))</f>
        <v>1.6727141717491443E-3</v>
      </c>
      <c r="F19" s="47">
        <f>B19+D19</f>
        <v>1080</v>
      </c>
      <c r="G19" s="48">
        <f>IF(F19=0,0,F19/'Summary Load Customers '!$H$21)</f>
        <v>3.2505252005995415E-3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2" t="str">
        <f>"As the above table shows, "&amp;TEXT(F19,"0,000")&amp;" of UI's customers, or "&amp;TEXT(G19,"0.0%")&amp;" are participating in the REC only program."</f>
        <v>As the above table shows, 1,080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80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42</v>
      </c>
      <c r="E24" s="57"/>
      <c r="F24" s="36" t="s">
        <v>49</v>
      </c>
      <c r="G24" s="38"/>
    </row>
    <row r="25" spans="1:9" ht="13.8" x14ac:dyDescent="0.25">
      <c r="A25" s="41"/>
      <c r="B25" s="42" t="s">
        <v>24</v>
      </c>
      <c r="C25" s="43" t="s">
        <v>36</v>
      </c>
      <c r="D25" s="42" t="str">
        <f>B25</f>
        <v>Customers</v>
      </c>
      <c r="E25" s="43" t="s">
        <v>36</v>
      </c>
      <c r="F25" s="42" t="str">
        <f>B25</f>
        <v>Customers</v>
      </c>
      <c r="G25" s="43" t="s">
        <v>35</v>
      </c>
    </row>
    <row r="26" spans="1:9" ht="13.8" x14ac:dyDescent="0.25">
      <c r="A26" s="44" t="s">
        <v>79</v>
      </c>
      <c r="B26" s="47">
        <f>B12+B19</f>
        <v>5716</v>
      </c>
      <c r="C26" s="48">
        <f>IF(B26=0,0,B26/'Summary Load Customers '!$B$21)</f>
        <v>1.9482267932309685E-2</v>
      </c>
      <c r="D26" s="47">
        <f>D12+D19</f>
        <v>114</v>
      </c>
      <c r="E26" s="48">
        <f>IF(D26=0,0,D26/('Summary Load Customers '!$D$21+'Summary Load Customers '!$F$21))</f>
        <v>2.9336833166061916E-3</v>
      </c>
      <c r="F26" s="47">
        <f>B26+D26</f>
        <v>5830</v>
      </c>
      <c r="G26" s="48">
        <f>IF(F26=0,0,F26/'Summary Load Customers '!$H$21)</f>
        <v>1.7546816592125303E-2</v>
      </c>
    </row>
    <row r="27" spans="1:9" ht="13.8" x14ac:dyDescent="0.25">
      <c r="G27" s="54"/>
      <c r="H27" s="32"/>
    </row>
    <row r="28" spans="1:9" ht="13.8" x14ac:dyDescent="0.25">
      <c r="A28" s="112" t="str">
        <f>"As the above table shows, "&amp;TEXT(F26,"0,000")&amp;" of UI's customers, or "&amp;TEXT(G26,"0.0%")&amp;" are participating in the combined REC programs."</f>
        <v>As the above table shows, 5,830 of UI's customers, or 1.8% are participating in the combined REC programs.</v>
      </c>
      <c r="G28" s="54"/>
      <c r="H28" s="32"/>
    </row>
    <row r="30" spans="1:9" ht="13.8" x14ac:dyDescent="0.25">
      <c r="A30" s="71" t="s">
        <v>48</v>
      </c>
    </row>
    <row r="31" spans="1:9" ht="13.8" x14ac:dyDescent="0.25">
      <c r="A31" s="71"/>
    </row>
    <row r="32" spans="1:9" ht="13.8" x14ac:dyDescent="0.25">
      <c r="A32" s="71" t="s">
        <v>82</v>
      </c>
    </row>
    <row r="34" spans="1:1" x14ac:dyDescent="0.25">
      <c r="A34" s="72" t="s">
        <v>33</v>
      </c>
    </row>
    <row r="36" spans="1:1" x14ac:dyDescent="0.25">
      <c r="A36" s="3" t="str">
        <f>'Summary Load Customers '!A34</f>
        <v>Dated 07/03/2013</v>
      </c>
    </row>
  </sheetData>
  <phoneticPr fontId="10" type="noConversion"/>
  <pageMargins left="0.75" right="0.75" top="1" bottom="1" header="0.5" footer="0.5"/>
  <pageSetup scale="64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zoomScaleNormal="100" workbookViewId="0">
      <selection activeCell="A5" sqref="A5"/>
    </sheetView>
  </sheetViews>
  <sheetFormatPr defaultColWidth="9.109375" defaultRowHeight="10.199999999999999" x14ac:dyDescent="0.2"/>
  <cols>
    <col min="1" max="1" width="28" style="87" customWidth="1"/>
    <col min="2" max="3" width="19.109375" style="87" customWidth="1"/>
    <col min="4" max="4" width="20.33203125" style="87" customWidth="1"/>
    <col min="5" max="5" width="7.109375" style="87" customWidth="1"/>
    <col min="6" max="6" width="23.33203125" style="87" bestFit="1" customWidth="1"/>
    <col min="7" max="7" width="10.44140625" style="87" customWidth="1"/>
    <col min="8" max="16384" width="9.109375" style="87"/>
  </cols>
  <sheetData>
    <row r="1" spans="1:8" s="86" customFormat="1" x14ac:dyDescent="0.25">
      <c r="A1" s="116" t="str">
        <f>'Summary Load Customers '!A1</f>
        <v>The United Illuminating Company</v>
      </c>
      <c r="B1" s="116"/>
      <c r="C1" s="116"/>
      <c r="D1" s="116"/>
      <c r="E1" s="84"/>
      <c r="F1" s="84"/>
      <c r="G1" s="85"/>
    </row>
    <row r="2" spans="1:8" s="86" customFormat="1" x14ac:dyDescent="0.25">
      <c r="A2" s="116" t="s">
        <v>68</v>
      </c>
      <c r="B2" s="116"/>
      <c r="C2" s="116"/>
      <c r="D2" s="116"/>
      <c r="E2" s="84"/>
      <c r="F2" s="84"/>
      <c r="G2" s="85"/>
    </row>
    <row r="3" spans="1:8" s="86" customFormat="1" x14ac:dyDescent="0.25">
      <c r="A3" s="116" t="s">
        <v>2</v>
      </c>
      <c r="B3" s="116"/>
      <c r="C3" s="116"/>
      <c r="D3" s="116"/>
      <c r="E3" s="84"/>
      <c r="F3" s="84"/>
      <c r="G3" s="85"/>
    </row>
    <row r="4" spans="1:8" s="86" customFormat="1" x14ac:dyDescent="0.25">
      <c r="A4" s="116" t="str">
        <f>'Summary Load Customers '!A5</f>
        <v>Data as of June 30, 2013</v>
      </c>
      <c r="B4" s="116"/>
      <c r="C4" s="116"/>
      <c r="D4" s="116"/>
      <c r="E4" s="84"/>
      <c r="F4" s="84"/>
      <c r="G4" s="85"/>
    </row>
    <row r="5" spans="1:8" x14ac:dyDescent="0.2">
      <c r="C5" s="88"/>
      <c r="D5" s="88"/>
      <c r="E5" s="88"/>
      <c r="F5" s="88"/>
      <c r="G5" s="88"/>
    </row>
    <row r="6" spans="1:8" s="94" customFormat="1" ht="20.399999999999999" x14ac:dyDescent="0.2">
      <c r="A6" s="89" t="s">
        <v>70</v>
      </c>
      <c r="B6" s="90" t="s">
        <v>5</v>
      </c>
      <c r="C6" s="89" t="s">
        <v>6</v>
      </c>
      <c r="D6" s="89" t="s">
        <v>49</v>
      </c>
      <c r="E6" s="91"/>
      <c r="F6" s="91"/>
      <c r="G6" s="92"/>
      <c r="H6" s="93"/>
    </row>
    <row r="7" spans="1:8" x14ac:dyDescent="0.2">
      <c r="A7" s="95" t="s">
        <v>69</v>
      </c>
      <c r="B7" s="96" t="s">
        <v>34</v>
      </c>
      <c r="C7" s="97"/>
      <c r="D7" s="98">
        <f>IF(C7=0,0,C7)</f>
        <v>0</v>
      </c>
      <c r="E7" s="88"/>
      <c r="F7" s="88"/>
      <c r="G7" s="99"/>
      <c r="H7" s="88"/>
    </row>
    <row r="8" spans="1:8" x14ac:dyDescent="0.2">
      <c r="A8" s="95" t="s">
        <v>30</v>
      </c>
      <c r="B8" s="97">
        <v>197</v>
      </c>
      <c r="C8" s="97">
        <v>2</v>
      </c>
      <c r="D8" s="98">
        <f>SUM(B8:C8)</f>
        <v>199</v>
      </c>
      <c r="E8" s="100"/>
      <c r="F8" s="100"/>
      <c r="G8" s="99"/>
      <c r="H8" s="88"/>
    </row>
    <row r="9" spans="1:8" x14ac:dyDescent="0.2">
      <c r="A9" s="95" t="s">
        <v>31</v>
      </c>
      <c r="B9" s="97">
        <v>3977</v>
      </c>
      <c r="C9" s="97">
        <v>46</v>
      </c>
      <c r="D9" s="98">
        <f>SUM(B9:C9)</f>
        <v>4023</v>
      </c>
      <c r="E9" s="101"/>
      <c r="F9" s="102"/>
      <c r="G9" s="99"/>
      <c r="H9" s="88"/>
    </row>
    <row r="10" spans="1:8" x14ac:dyDescent="0.2">
      <c r="A10" s="103" t="s">
        <v>7</v>
      </c>
      <c r="B10" s="104">
        <f>IF(B8+B9=0,0,B8+B9)</f>
        <v>4174</v>
      </c>
      <c r="C10" s="104">
        <f>IF(SUM(C7:C9)=0,0,SUM(C7:C9))</f>
        <v>48</v>
      </c>
      <c r="D10" s="104">
        <f>IF(SUM(D7:D9)=0,0,SUM(D7:D9))</f>
        <v>4222</v>
      </c>
      <c r="E10" s="101"/>
      <c r="F10" s="102"/>
      <c r="G10" s="99"/>
      <c r="H10" s="88"/>
    </row>
    <row r="11" spans="1:8" x14ac:dyDescent="0.2">
      <c r="A11" s="88"/>
      <c r="B11" s="105"/>
      <c r="C11" s="105"/>
      <c r="D11" s="105"/>
      <c r="E11" s="101"/>
      <c r="F11" s="102"/>
      <c r="G11" s="106"/>
      <c r="H11" s="88"/>
    </row>
    <row r="12" spans="1:8" ht="20.399999999999999" x14ac:dyDescent="0.2">
      <c r="A12" s="89" t="s">
        <v>73</v>
      </c>
      <c r="B12" s="89" t="s">
        <v>5</v>
      </c>
      <c r="C12" s="89" t="str">
        <f>C6</f>
        <v>Business</v>
      </c>
      <c r="D12" s="89" t="s">
        <v>49</v>
      </c>
      <c r="E12" s="107"/>
      <c r="F12" s="108"/>
      <c r="G12" s="106"/>
      <c r="H12" s="88"/>
    </row>
    <row r="13" spans="1:8" x14ac:dyDescent="0.2">
      <c r="A13" s="95" t="s">
        <v>69</v>
      </c>
      <c r="B13" s="96" t="s">
        <v>34</v>
      </c>
      <c r="C13" s="97"/>
      <c r="D13" s="98">
        <f>IF(C13=0,0,C13)</f>
        <v>0</v>
      </c>
      <c r="E13" s="88"/>
      <c r="F13" s="88"/>
      <c r="G13" s="106"/>
      <c r="H13" s="88"/>
    </row>
    <row r="14" spans="1:8" x14ac:dyDescent="0.2">
      <c r="A14" s="95" t="s">
        <v>30</v>
      </c>
      <c r="B14" s="97">
        <v>3</v>
      </c>
      <c r="C14" s="97">
        <v>0</v>
      </c>
      <c r="D14" s="98">
        <f>SUM(B14:C14)</f>
        <v>3</v>
      </c>
      <c r="E14" s="100"/>
      <c r="F14" s="100"/>
      <c r="G14" s="99"/>
      <c r="H14" s="88"/>
    </row>
    <row r="15" spans="1:8" x14ac:dyDescent="0.2">
      <c r="A15" s="95" t="s">
        <v>31</v>
      </c>
      <c r="B15" s="97">
        <v>524</v>
      </c>
      <c r="C15" s="97">
        <v>1</v>
      </c>
      <c r="D15" s="98">
        <f>SUM(B15:C15)</f>
        <v>525</v>
      </c>
      <c r="E15" s="101"/>
      <c r="F15" s="102"/>
      <c r="G15" s="99"/>
      <c r="H15" s="88"/>
    </row>
    <row r="16" spans="1:8" x14ac:dyDescent="0.2">
      <c r="A16" s="103" t="str">
        <f>A10</f>
        <v>Total</v>
      </c>
      <c r="B16" s="104">
        <f>IF(B14+B15=0,0,B14+B15)</f>
        <v>527</v>
      </c>
      <c r="C16" s="104">
        <f>IF(SUM(C13:C15)=0,0,SUM(C13:C15))</f>
        <v>1</v>
      </c>
      <c r="D16" s="104">
        <f>IF(SUM(D13:D15)=0,0,SUM(D13:D15))</f>
        <v>528</v>
      </c>
      <c r="E16" s="101"/>
      <c r="F16" s="102"/>
      <c r="G16" s="99"/>
      <c r="H16" s="88"/>
    </row>
    <row r="17" spans="1:8" x14ac:dyDescent="0.2">
      <c r="A17" s="88"/>
      <c r="B17" s="88"/>
      <c r="C17" s="88"/>
      <c r="D17" s="88"/>
      <c r="E17" s="101"/>
      <c r="F17" s="102"/>
      <c r="G17" s="106"/>
      <c r="H17" s="88"/>
    </row>
    <row r="18" spans="1:8" ht="20.399999999999999" x14ac:dyDescent="0.2">
      <c r="A18" s="89" t="s">
        <v>74</v>
      </c>
      <c r="B18" s="89" t="s">
        <v>5</v>
      </c>
      <c r="C18" s="89" t="str">
        <f>C6</f>
        <v>Business</v>
      </c>
      <c r="D18" s="89" t="s">
        <v>49</v>
      </c>
      <c r="E18" s="107"/>
      <c r="F18" s="108"/>
      <c r="G18" s="106"/>
      <c r="H18" s="88"/>
    </row>
    <row r="19" spans="1:8" x14ac:dyDescent="0.2">
      <c r="A19" s="95" t="s">
        <v>69</v>
      </c>
      <c r="B19" s="96" t="s">
        <v>34</v>
      </c>
      <c r="C19" s="109">
        <f t="shared" ref="C19:D21" si="0">IF(C7+C13=0,0,C7+C13)</f>
        <v>0</v>
      </c>
      <c r="D19" s="98">
        <f t="shared" si="0"/>
        <v>0</v>
      </c>
      <c r="E19" s="106"/>
      <c r="F19" s="106"/>
      <c r="G19" s="106"/>
      <c r="H19" s="88"/>
    </row>
    <row r="20" spans="1:8" x14ac:dyDescent="0.2">
      <c r="A20" s="95" t="s">
        <v>30</v>
      </c>
      <c r="B20" s="109">
        <f>IF(B8+B14=0,0,B8+B14)</f>
        <v>200</v>
      </c>
      <c r="C20" s="109">
        <f t="shared" si="0"/>
        <v>2</v>
      </c>
      <c r="D20" s="98">
        <f t="shared" si="0"/>
        <v>202</v>
      </c>
      <c r="E20" s="99"/>
      <c r="F20" s="106"/>
      <c r="G20" s="106"/>
      <c r="H20" s="88"/>
    </row>
    <row r="21" spans="1:8" x14ac:dyDescent="0.2">
      <c r="A21" s="95" t="s">
        <v>31</v>
      </c>
      <c r="B21" s="109">
        <f>IF(B9+B15=0,0,B9+B15)</f>
        <v>4501</v>
      </c>
      <c r="C21" s="109">
        <f t="shared" si="0"/>
        <v>47</v>
      </c>
      <c r="D21" s="98">
        <f t="shared" si="0"/>
        <v>4548</v>
      </c>
      <c r="E21" s="88"/>
      <c r="F21" s="106"/>
      <c r="G21" s="106"/>
      <c r="H21" s="88"/>
    </row>
    <row r="22" spans="1:8" x14ac:dyDescent="0.2">
      <c r="A22" s="103" t="str">
        <f>A10</f>
        <v>Total</v>
      </c>
      <c r="B22" s="104">
        <f>IF(B20+B21=0,0,B20+B21)</f>
        <v>4701</v>
      </c>
      <c r="C22" s="104">
        <f>IF(SUM(C19:C21)=0,0,SUM(C19:C21))</f>
        <v>49</v>
      </c>
      <c r="D22" s="104">
        <f>SUM(D19:D21)</f>
        <v>4750</v>
      </c>
      <c r="E22" s="88"/>
      <c r="F22" s="106"/>
      <c r="G22" s="106"/>
      <c r="H22" s="88"/>
    </row>
    <row r="23" spans="1:8" x14ac:dyDescent="0.2">
      <c r="B23" s="88"/>
      <c r="C23" s="88"/>
      <c r="E23" s="88"/>
      <c r="F23" s="106"/>
      <c r="G23" s="106"/>
      <c r="H23" s="88"/>
    </row>
    <row r="24" spans="1:8" ht="20.399999999999999" x14ac:dyDescent="0.2">
      <c r="A24" s="89" t="s">
        <v>71</v>
      </c>
      <c r="B24" s="89" t="s">
        <v>5</v>
      </c>
      <c r="C24" s="89">
        <f>C17</f>
        <v>0</v>
      </c>
      <c r="D24" s="89" t="s">
        <v>49</v>
      </c>
    </row>
    <row r="25" spans="1:8" x14ac:dyDescent="0.2">
      <c r="A25" s="95" t="s">
        <v>69</v>
      </c>
      <c r="B25" s="96" t="s">
        <v>34</v>
      </c>
      <c r="C25" s="109">
        <f>IF(C13+C19=0,0,C13+C19)</f>
        <v>0</v>
      </c>
      <c r="D25" s="98">
        <f>IF(C25=0,0,C25)</f>
        <v>0</v>
      </c>
    </row>
    <row r="26" spans="1:8" x14ac:dyDescent="0.2">
      <c r="A26" s="95" t="s">
        <v>30</v>
      </c>
      <c r="B26" s="97">
        <v>269</v>
      </c>
      <c r="C26" s="97">
        <v>11</v>
      </c>
      <c r="D26" s="98">
        <f>SUM(B26:C26)</f>
        <v>280</v>
      </c>
    </row>
    <row r="27" spans="1:8" x14ac:dyDescent="0.2">
      <c r="A27" s="95" t="s">
        <v>31</v>
      </c>
      <c r="B27" s="97">
        <v>746</v>
      </c>
      <c r="C27" s="97">
        <v>54</v>
      </c>
      <c r="D27" s="98">
        <f>SUM(B27:C27)</f>
        <v>800</v>
      </c>
    </row>
    <row r="28" spans="1:8" x14ac:dyDescent="0.2">
      <c r="A28" s="103" t="str">
        <f>A22</f>
        <v>Total</v>
      </c>
      <c r="B28" s="104">
        <f>IF(B26+B27=0,0,B26+B27)</f>
        <v>1015</v>
      </c>
      <c r="C28" s="104">
        <f>IF(SUM(C25:C27)=0,0,SUM(C25:C27))</f>
        <v>65</v>
      </c>
      <c r="D28" s="104">
        <f>IF(SUM(D25:D27)=0,0,SUM(D25:D27))</f>
        <v>1080</v>
      </c>
    </row>
    <row r="30" spans="1:8" x14ac:dyDescent="0.2">
      <c r="A30" s="89" t="s">
        <v>72</v>
      </c>
      <c r="B30" s="89" t="s">
        <v>5</v>
      </c>
      <c r="C30" s="89" t="str">
        <f>C18</f>
        <v>Business</v>
      </c>
      <c r="D30" s="89" t="s">
        <v>49</v>
      </c>
    </row>
    <row r="31" spans="1:8" x14ac:dyDescent="0.2">
      <c r="A31" s="95" t="s">
        <v>69</v>
      </c>
      <c r="B31" s="96" t="s">
        <v>34</v>
      </c>
      <c r="C31" s="109">
        <f t="shared" ref="C31:D33" si="1">C19+C25</f>
        <v>0</v>
      </c>
      <c r="D31" s="98">
        <f t="shared" si="1"/>
        <v>0</v>
      </c>
    </row>
    <row r="32" spans="1:8" x14ac:dyDescent="0.2">
      <c r="A32" s="95" t="s">
        <v>30</v>
      </c>
      <c r="B32" s="109">
        <f>B20+B26</f>
        <v>469</v>
      </c>
      <c r="C32" s="109">
        <f t="shared" si="1"/>
        <v>13</v>
      </c>
      <c r="D32" s="98">
        <f t="shared" si="1"/>
        <v>482</v>
      </c>
      <c r="E32" s="88"/>
      <c r="F32" s="88"/>
      <c r="G32" s="88"/>
    </row>
    <row r="33" spans="1:4" x14ac:dyDescent="0.2">
      <c r="A33" s="95" t="s">
        <v>31</v>
      </c>
      <c r="B33" s="109">
        <f>B21+B27</f>
        <v>5247</v>
      </c>
      <c r="C33" s="109">
        <f t="shared" si="1"/>
        <v>101</v>
      </c>
      <c r="D33" s="98">
        <f t="shared" si="1"/>
        <v>5348</v>
      </c>
    </row>
    <row r="34" spans="1:4" x14ac:dyDescent="0.2">
      <c r="A34" s="103" t="str">
        <f>A28</f>
        <v>Total</v>
      </c>
      <c r="B34" s="104">
        <f>IF(B32+B33=0,0,B32+B33)</f>
        <v>5716</v>
      </c>
      <c r="C34" s="104">
        <f>IF(SUM(C31:C33)=0,0,SUM(C31:C33))</f>
        <v>114</v>
      </c>
      <c r="D34" s="104">
        <f>SUM(D31:D33)</f>
        <v>5830</v>
      </c>
    </row>
    <row r="36" spans="1:4" x14ac:dyDescent="0.2">
      <c r="A36" s="110" t="str">
        <f>"In summary, "&amp;TEXT($D$22,"0,000")&amp; " of UI's customers are participating in the CTCleanEnergyOptions Program"</f>
        <v>In summary, 4,750 of UI's customers are participating in the CTCleanEnergyOptions Program</v>
      </c>
    </row>
    <row r="37" spans="1:4" x14ac:dyDescent="0.2">
      <c r="A37" s="110" t="str">
        <f>"In summary, "&amp;TEXT($D$28,"0,000")&amp; " of UI's customers are participating in RECs only with Sterling Planet"</f>
        <v>In summary, 1,080 of UI's customers are participating in RECs only with Sterling Planet</v>
      </c>
    </row>
    <row r="38" spans="1:4" x14ac:dyDescent="0.2">
      <c r="A38" s="110" t="str">
        <f>"In summary, "&amp;TEXT($D$34,"0,000")&amp; " of UI's customers are participating in all REC programs"</f>
        <v>In summary, 5,830 of UI's customers are participating in all REC programs</v>
      </c>
    </row>
    <row r="40" spans="1:4" x14ac:dyDescent="0.2">
      <c r="A40" s="111" t="s">
        <v>37</v>
      </c>
    </row>
    <row r="41" spans="1:4" x14ac:dyDescent="0.2">
      <c r="A41" s="88" t="s">
        <v>32</v>
      </c>
    </row>
    <row r="43" spans="1:4" x14ac:dyDescent="0.2">
      <c r="A43" s="87" t="str">
        <f>'Summary Load Customers '!A34</f>
        <v>Dated 07/03/2013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1" right="1" top="0.5" bottom="0.5" header="0" footer="0"/>
  <pageSetup scale="97" orientation="portrait" r:id="rId1"/>
  <headerFooter alignWithMargins="0">
    <oddHeader xml:space="preserve">&amp;RPage 4 of 4
</oddHeader>
  </headerFooter>
  <ignoredErrors>
    <ignoredError sqref="B20:B21 C19 C25 C20:C21 C31 C32:C3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Suppliers!Print_Area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James Michaud</cp:lastModifiedBy>
  <cp:lastPrinted>2012-11-13T19:20:58Z</cp:lastPrinted>
  <dcterms:created xsi:type="dcterms:W3CDTF">2009-03-17T13:14:28Z</dcterms:created>
  <dcterms:modified xsi:type="dcterms:W3CDTF">2013-07-03T15:51:29Z</dcterms:modified>
</cp:coreProperties>
</file>