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1520" windowHeight="970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REC_programs_detail!$A$1:$D$43</definedName>
    <definedName name="_xlnm.Print_Area" localSheetId="0">'Summary Load Customers '!$A$1:$I$25</definedName>
    <definedName name="_xlnm.Print_Area" localSheetId="1">Suppliers!$B$1:$F$62</definedName>
  </definedNames>
  <calcPr calcId="145621"/>
</workbook>
</file>

<file path=xl/calcChain.xml><?xml version="1.0" encoding="utf-8"?>
<calcChain xmlns="http://schemas.openxmlformats.org/spreadsheetml/2006/main">
  <c r="E11" i="6" l="1"/>
  <c r="E28" i="6" l="1"/>
  <c r="E29" i="6"/>
  <c r="E30" i="6"/>
  <c r="E31" i="6"/>
  <c r="E33" i="6"/>
  <c r="E35" i="6"/>
  <c r="E36" i="6"/>
  <c r="E37" i="6"/>
  <c r="E38" i="6"/>
  <c r="E39" i="6"/>
  <c r="E45" i="6"/>
  <c r="E46" i="6"/>
  <c r="E47" i="6"/>
  <c r="E49" i="6"/>
  <c r="E52" i="6"/>
  <c r="E53" i="6"/>
  <c r="E54" i="6"/>
  <c r="E20" i="6"/>
  <c r="E8" i="6"/>
  <c r="E9" i="6"/>
  <c r="E10" i="6"/>
  <c r="E12" i="6"/>
  <c r="E14" i="6"/>
  <c r="E15" i="6"/>
  <c r="E16" i="6"/>
  <c r="E17" i="6"/>
  <c r="E18" i="6"/>
  <c r="E19" i="6"/>
  <c r="E21" i="6"/>
  <c r="E22" i="6"/>
  <c r="E23" i="6"/>
  <c r="E24" i="6"/>
  <c r="E25" i="6"/>
  <c r="E26" i="6"/>
  <c r="E27" i="6"/>
  <c r="E34" i="6"/>
  <c r="E41" i="6"/>
  <c r="E43" i="6"/>
  <c r="E50" i="6"/>
  <c r="B20" i="5"/>
  <c r="C20" i="5"/>
  <c r="B21" i="5"/>
  <c r="B33" i="5" s="1"/>
  <c r="D55" i="6"/>
  <c r="C55" i="6"/>
  <c r="C21" i="5"/>
  <c r="C33" i="5" s="1"/>
  <c r="B32" i="5"/>
  <c r="C32" i="5"/>
  <c r="E48" i="6"/>
  <c r="E40" i="6"/>
  <c r="E51" i="6"/>
  <c r="F51" i="6" s="1"/>
  <c r="E44" i="6"/>
  <c r="E13" i="6"/>
  <c r="F13" i="6" s="1"/>
  <c r="E32" i="6"/>
  <c r="F32" i="6" s="1"/>
  <c r="E42" i="6"/>
  <c r="A5" i="8"/>
  <c r="B28" i="5"/>
  <c r="B19" i="8" s="1"/>
  <c r="F25" i="8"/>
  <c r="F18" i="8"/>
  <c r="F11" i="8"/>
  <c r="A36" i="8"/>
  <c r="D7" i="5"/>
  <c r="D19" i="5" s="1"/>
  <c r="D13" i="5"/>
  <c r="C19" i="5"/>
  <c r="C31" i="5" s="1"/>
  <c r="D8" i="5"/>
  <c r="D14" i="5"/>
  <c r="D26" i="5"/>
  <c r="D9" i="5"/>
  <c r="D15" i="5"/>
  <c r="D27" i="5"/>
  <c r="C24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2" i="6"/>
  <c r="H10" i="7"/>
  <c r="H11" i="7"/>
  <c r="A1" i="6"/>
  <c r="A1" i="5"/>
  <c r="C16" i="5"/>
  <c r="C10" i="5"/>
  <c r="B10" i="5"/>
  <c r="B16" i="5"/>
  <c r="A4" i="6"/>
  <c r="A4" i="5"/>
  <c r="A21" i="7"/>
  <c r="A20" i="7"/>
  <c r="D9" i="7"/>
  <c r="F9" i="7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D25" i="5"/>
  <c r="C28" i="5"/>
  <c r="D19" i="8" s="1"/>
  <c r="F42" i="6"/>
  <c r="E19" i="7" l="1"/>
  <c r="C11" i="7"/>
  <c r="G19" i="7"/>
  <c r="D28" i="5"/>
  <c r="A37" i="5" s="1"/>
  <c r="D21" i="5"/>
  <c r="G10" i="7"/>
  <c r="H12" i="7"/>
  <c r="I10" i="7" s="1"/>
  <c r="A13" i="7" s="1"/>
  <c r="E19" i="8"/>
  <c r="H21" i="7"/>
  <c r="I20" i="7" s="1"/>
  <c r="A24" i="7" s="1"/>
  <c r="C20" i="7"/>
  <c r="D33" i="5"/>
  <c r="D16" i="5"/>
  <c r="C34" i="5"/>
  <c r="D10" i="5"/>
  <c r="B22" i="5"/>
  <c r="B12" i="8" s="1"/>
  <c r="C12" i="8" s="1"/>
  <c r="B34" i="5"/>
  <c r="C19" i="8"/>
  <c r="F19" i="8"/>
  <c r="D31" i="5"/>
  <c r="E55" i="6"/>
  <c r="E10" i="7"/>
  <c r="C22" i="5"/>
  <c r="D12" i="8" s="1"/>
  <c r="D20" i="5"/>
  <c r="D32" i="5" s="1"/>
  <c r="F34" i="6" l="1"/>
  <c r="F11" i="6"/>
  <c r="F12" i="8"/>
  <c r="G12" i="8" s="1"/>
  <c r="A14" i="8" s="1"/>
  <c r="B26" i="8"/>
  <c r="C26" i="8" s="1"/>
  <c r="I11" i="7"/>
  <c r="A14" i="7" s="1"/>
  <c r="F29" i="6"/>
  <c r="F39" i="6"/>
  <c r="F19" i="6"/>
  <c r="F35" i="6"/>
  <c r="F12" i="6"/>
  <c r="I19" i="7"/>
  <c r="A23" i="7" s="1"/>
  <c r="D34" i="5"/>
  <c r="A38" i="5" s="1"/>
  <c r="F28" i="6"/>
  <c r="F8" i="6"/>
  <c r="F41" i="6"/>
  <c r="F30" i="6"/>
  <c r="F54" i="6"/>
  <c r="F18" i="6"/>
  <c r="F27" i="6"/>
  <c r="F23" i="6"/>
  <c r="F36" i="6"/>
  <c r="F16" i="6"/>
  <c r="F21" i="6"/>
  <c r="F9" i="6"/>
  <c r="F38" i="6"/>
  <c r="F48" i="6"/>
  <c r="F45" i="6"/>
  <c r="F17" i="6"/>
  <c r="F26" i="6"/>
  <c r="F25" i="6"/>
  <c r="F55" i="6"/>
  <c r="F44" i="6"/>
  <c r="F49" i="6"/>
  <c r="F20" i="6"/>
  <c r="F50" i="6"/>
  <c r="F47" i="6"/>
  <c r="F52" i="6"/>
  <c r="F33" i="6"/>
  <c r="F14" i="6"/>
  <c r="F22" i="6"/>
  <c r="F10" i="6"/>
  <c r="F46" i="6"/>
  <c r="F40" i="6"/>
  <c r="D22" i="5"/>
  <c r="A36" i="5" s="1"/>
  <c r="F31" i="6"/>
  <c r="F37" i="6"/>
  <c r="F53" i="6"/>
  <c r="F15" i="6"/>
  <c r="F24" i="6"/>
  <c r="F43" i="6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<sst xmlns="http://schemas.openxmlformats.org/spreadsheetml/2006/main" count="169" uniqueCount="104">
  <si>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</si>
  <si>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</si>
  <si>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</si>
  <si>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</si>
  <si>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</si>
  <si>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</si>
  <si>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</si>
  <si>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</si>
  <si>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</si>
  <si>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</si>
  <si>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</si>
  <si>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</si>
  <si>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</si>
  <si>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</si>
  <si>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</si>
  <si>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</si>
  <si>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</si>
  <si>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Direct Energy Service, LLC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</si>
  <si>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</si>
  <si>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</si>
  <si>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</si>
  <si>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</si>
  <si>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</si>
  <si>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</si>
  <si>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</si>
  <si>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</si>
  <si>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</si>
  <si>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</si>
  <si>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</si>
  <si>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</si>
  <si>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</si>
  <si>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</si>
  <si>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N/A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</si>
  <si>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</si>
  <si>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</si>
  <si>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</si>
  <si>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</si>
  <si>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</si>
  <si>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</si>
  <si>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</si>
  <si>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</si>
  <si>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</si>
  <si>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</si>
  <si>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</si>
  <si>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</si>
  <si>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</si>
  <si>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</si>
  <si>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</si>
  <si>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</si>
  <si>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</si>
  <si>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</si>
  <si>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</si>
  <si>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</si>
  <si>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</si>
  <si>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</si>
  <si>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r>
      <t>Direct Energy Business, LLC</t>
    </r>
    <r>
      <rPr>
        <sz val="8"/>
        <rFont val="Arial"/>
        <family val="2"/>
      </rPr>
      <t xml:space="preserve"> (F/K/AStrategic)</t>
    </r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</si>
  <si>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</si>
  <si>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</si>
  <si>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</si>
  <si>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</si>
  <si>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</si>
  <si>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</si>
  <si>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</si>
  <si>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</si>
  <si>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</si>
  <si>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</si>
  <si>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</si>
  <si>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</si>
  <si>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</si>
  <si>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</si>
  <si>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</si>
  <si>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</si>
  <si>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</si>
  <si>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</si>
  <si>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</si>
  <si>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</si>
  <si>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</si>
  <si>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</si>
  <si>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</si>
  <si>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customers support clean energy through a surcharge on their bill.</t>
    </r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</si>
  <si>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</si>
  <si>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</si>
  <si>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</si>
  <si>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</si>
  <si>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</si>
  <si>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</si>
  <si>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</si>
  <si>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Peoples Power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</si>
  <si>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</si>
  <si>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</si>
  <si>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</si>
  <si>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</si>
  <si>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</si>
  <si>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</si>
  <si>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</si>
  <si>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</si>
  <si>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</si>
  <si>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</si>
  <si>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</si>
  <si>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</si>
  <si>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</si>
  <si>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Data as of September 30, 2013</t>
  </si>
  <si>
    <t>Blue Pilot Energy</t>
  </si>
  <si>
    <t>Dated 10/04/2013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</si>
</sst>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zoomScaleNormal="100" workbookViewId="0"/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60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41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26" t="s">
        <v>101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5">
      <c r="A7" s="33" t="s">
        <v>44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5">
      <c r="A8" s="3"/>
      <c r="B8" s="36" t="s">
        <v>45</v>
      </c>
      <c r="C8" s="37"/>
      <c r="D8" s="36" t="s">
        <v>8</v>
      </c>
      <c r="E8" s="38"/>
      <c r="F8" s="36" t="s">
        <v>9</v>
      </c>
      <c r="G8" s="39"/>
      <c r="H8" s="36" t="s">
        <v>47</v>
      </c>
      <c r="I8" s="38"/>
    </row>
    <row r="9" spans="1:9" ht="18" customHeight="1" x14ac:dyDescent="0.25">
      <c r="A9" s="41"/>
      <c r="B9" s="42" t="s">
        <v>11</v>
      </c>
      <c r="C9" s="43" t="s">
        <v>34</v>
      </c>
      <c r="D9" s="42" t="str">
        <f>B9</f>
        <v>MWh</v>
      </c>
      <c r="E9" s="43" t="s">
        <v>34</v>
      </c>
      <c r="F9" s="42" t="str">
        <f>D9</f>
        <v>MWh</v>
      </c>
      <c r="G9" s="43" t="s">
        <v>34</v>
      </c>
      <c r="H9" s="42" t="str">
        <f>F9</f>
        <v>MWh</v>
      </c>
      <c r="I9" s="43" t="s">
        <v>33</v>
      </c>
    </row>
    <row r="10" spans="1:9" ht="18" customHeight="1" x14ac:dyDescent="0.25">
      <c r="A10" s="44" t="s">
        <v>13</v>
      </c>
      <c r="B10" s="75">
        <v>89788</v>
      </c>
      <c r="C10" s="45">
        <f>IF(B10=0,0,B10/$B$12)</f>
        <v>0.51889780161353705</v>
      </c>
      <c r="D10" s="75">
        <v>122676</v>
      </c>
      <c r="E10" s="45">
        <f>IF(D10=0,0,D10/$D$12)</f>
        <v>0.75608778990576331</v>
      </c>
      <c r="F10" s="75">
        <v>105226</v>
      </c>
      <c r="G10" s="45">
        <f>IF(F10=0,0,F10/$F$12)</f>
        <v>0.93651598892834576</v>
      </c>
      <c r="H10" s="46">
        <f>IF(B10+D10+F10=0,0,B10+D10+F10)</f>
        <v>317690</v>
      </c>
      <c r="I10" s="45">
        <f>IF(H10=0,0,H10/$H$12)</f>
        <v>0.70969024631070088</v>
      </c>
    </row>
    <row r="11" spans="1:9" ht="18" customHeight="1" x14ac:dyDescent="0.25">
      <c r="A11" s="44" t="s">
        <v>15</v>
      </c>
      <c r="B11" s="76">
        <v>83248</v>
      </c>
      <c r="C11" s="45">
        <f>IF(B11=0,0,B11/$B$12)</f>
        <v>0.48110219838646295</v>
      </c>
      <c r="D11" s="76">
        <v>39575</v>
      </c>
      <c r="E11" s="45">
        <f>IF(D11=0,0,D11/$D$12)</f>
        <v>0.24391221009423672</v>
      </c>
      <c r="F11" s="76">
        <v>7133</v>
      </c>
      <c r="G11" s="45">
        <f>IF(F11=0,0,F11/$F$12)</f>
        <v>6.3484011071654245E-2</v>
      </c>
      <c r="H11" s="46">
        <f>IF(B11+D11+F11=0,0,B11+D11+F11)</f>
        <v>129956</v>
      </c>
      <c r="I11" s="45">
        <f>IF(H11=0,0,H11/$H$12)</f>
        <v>0.29030975368929912</v>
      </c>
    </row>
    <row r="12" spans="1:9" ht="18" customHeight="1" x14ac:dyDescent="0.25">
      <c r="A12" s="44" t="s">
        <v>16</v>
      </c>
      <c r="B12" s="47">
        <f>SUM(B10:B11)</f>
        <v>173036</v>
      </c>
      <c r="C12" s="48"/>
      <c r="D12" s="47">
        <f>SUM(D10:D11)</f>
        <v>162251</v>
      </c>
      <c r="E12" s="48"/>
      <c r="F12" s="47">
        <f>SUM(F10:F11)</f>
        <v>112359</v>
      </c>
      <c r="G12" s="48"/>
      <c r="H12" s="47">
        <f>IF(H10+H11=0,0,H10+H11)</f>
        <v>447646</v>
      </c>
      <c r="I12" s="49"/>
    </row>
    <row r="13" spans="1:9" ht="18" customHeight="1" x14ac:dyDescent="0.25">
      <c r="A13" s="112" t="str">
        <f>"As the above table shows, "&amp;TEXT(H10,"0,000")&amp; " MWh, or "&amp;TEXT(I10,"0.0%")&amp;" of UI's total load is served by electric suppliers"</f>
        <v>As the above table shows, 317,690 MWh, or 71.0%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129,956 MHh, or 29.0%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3.8" x14ac:dyDescent="0.25">
      <c r="G15" s="54"/>
      <c r="H15" s="32"/>
    </row>
    <row r="16" spans="1:9" ht="18" customHeight="1" x14ac:dyDescent="0.25">
      <c r="A16" s="33" t="s">
        <v>43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45</v>
      </c>
      <c r="C17" s="56"/>
      <c r="D17" s="36" t="s">
        <v>8</v>
      </c>
      <c r="E17" s="57"/>
      <c r="F17" s="36" t="s">
        <v>9</v>
      </c>
      <c r="G17" s="39"/>
      <c r="H17" s="36" t="s">
        <v>47</v>
      </c>
      <c r="I17" s="38"/>
    </row>
    <row r="18" spans="1:10" ht="18" customHeight="1" x14ac:dyDescent="0.25">
      <c r="A18" s="41"/>
      <c r="B18" s="42" t="s">
        <v>23</v>
      </c>
      <c r="C18" s="43" t="s">
        <v>34</v>
      </c>
      <c r="D18" s="42" t="str">
        <f>B18</f>
        <v>Customers</v>
      </c>
      <c r="E18" s="43" t="s">
        <v>34</v>
      </c>
      <c r="F18" s="42" t="str">
        <f>D18</f>
        <v>Customers</v>
      </c>
      <c r="G18" s="43" t="s">
        <v>34</v>
      </c>
      <c r="H18" s="42" t="str">
        <f>F18</f>
        <v>Customers</v>
      </c>
      <c r="I18" s="43" t="s">
        <v>33</v>
      </c>
    </row>
    <row r="19" spans="1:10" ht="18" customHeight="1" x14ac:dyDescent="0.25">
      <c r="A19" s="44" t="str">
        <f>A10</f>
        <v>Suppliers</v>
      </c>
      <c r="B19" s="75">
        <v>138316</v>
      </c>
      <c r="C19" s="45">
        <f>IF(B19=0,0,B19/$B$21)</f>
        <v>0.47109712401738396</v>
      </c>
      <c r="D19" s="75">
        <v>21854</v>
      </c>
      <c r="E19" s="58">
        <f>IF(D19=0,0,D19/$D$21)</f>
        <v>0.5655211675809958</v>
      </c>
      <c r="F19" s="75">
        <v>257</v>
      </c>
      <c r="G19" s="45">
        <f>IF(F19=0,0,F19/$F$21)</f>
        <v>0.91459074733096091</v>
      </c>
      <c r="H19" s="46">
        <f>IF(B19+D19+F19=0,0,B19+D19+F19)</f>
        <v>160427</v>
      </c>
      <c r="I19" s="45">
        <f>IF(H19=0,0,H19/$H$21)</f>
        <v>0.48244514012311707</v>
      </c>
      <c r="J19" s="59"/>
    </row>
    <row r="20" spans="1:10" ht="18" customHeight="1" x14ac:dyDescent="0.25">
      <c r="A20" s="44" t="str">
        <f>A11</f>
        <v>UI</v>
      </c>
      <c r="B20" s="76">
        <v>155288</v>
      </c>
      <c r="C20" s="45">
        <f>IF(B20=0,0,B20/$B$21)</f>
        <v>0.52890287598261609</v>
      </c>
      <c r="D20" s="76">
        <v>16790</v>
      </c>
      <c r="E20" s="58">
        <f>IF(D20=0,0,D20/$D$21)</f>
        <v>0.43447883241900426</v>
      </c>
      <c r="F20" s="76">
        <v>24</v>
      </c>
      <c r="G20" s="45">
        <f>IF(F20=0,0,F20/$F$21)</f>
        <v>8.5409252669039148E-2</v>
      </c>
      <c r="H20" s="46">
        <f>IF(B20+D20+F20=0,0,B20+D20+F20)</f>
        <v>172102</v>
      </c>
      <c r="I20" s="45">
        <f>IF(H20=0,0,H20/$H$21)</f>
        <v>0.51755485987688288</v>
      </c>
    </row>
    <row r="21" spans="1:10" ht="18" customHeight="1" x14ac:dyDescent="0.25">
      <c r="A21" s="44" t="str">
        <f>A12</f>
        <v xml:space="preserve">     Total</v>
      </c>
      <c r="B21" s="47">
        <f>SUM(B19:B20)</f>
        <v>293604</v>
      </c>
      <c r="C21" s="60"/>
      <c r="D21" s="47">
        <f>SUM(D19:D20)</f>
        <v>38644</v>
      </c>
      <c r="E21" s="48"/>
      <c r="F21" s="47">
        <f>SUM(F19:F20)</f>
        <v>281</v>
      </c>
      <c r="G21" s="48"/>
      <c r="H21" s="47">
        <f>IF(H19+H20=0,0,H19+H20)</f>
        <v>332529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160,427 of UI's total customers, or 48.2%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172,102 or 51.8%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8" x14ac:dyDescent="0.25">
      <c r="A27" s="71" t="s">
        <v>42</v>
      </c>
    </row>
    <row r="28" spans="1:10" ht="13.8" x14ac:dyDescent="0.25">
      <c r="A28" s="71" t="s">
        <v>46</v>
      </c>
    </row>
    <row r="29" spans="1:10" ht="13.8" x14ac:dyDescent="0.25">
      <c r="A29" s="71" t="s">
        <v>84</v>
      </c>
    </row>
    <row r="30" spans="1:10" x14ac:dyDescent="0.25">
      <c r="A30" s="72" t="s">
        <v>31</v>
      </c>
    </row>
    <row r="31" spans="1:10" x14ac:dyDescent="0.25">
      <c r="A31" s="72" t="s">
        <v>38</v>
      </c>
    </row>
    <row r="34" spans="1:1" x14ac:dyDescent="0.25">
      <c r="A34" s="114" t="s">
        <v>103</v>
      </c>
    </row>
  </sheetData>
  <phoneticPr fontId="0" type="noConversion"/>
  <printOptions horizontalCentered="1"/>
  <pageMargins left="0.5" right="0.5" top="0.5" bottom="0.25" header="0" footer="0"/>
  <pageSetup scale="79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showZeros="0" zoomScaleNormal="100" workbookViewId="0">
      <selection activeCell="A6" sqref="A6"/>
    </sheetView>
  </sheetViews>
  <sheetFormatPr defaultColWidth="9.109375" defaultRowHeight="13.2" x14ac:dyDescent="0.25"/>
  <cols>
    <col min="1" max="1" width="4.44140625" style="1" customWidth="1"/>
    <col min="2" max="2" width="40.2187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September 30, 2013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39</v>
      </c>
    </row>
    <row r="8" spans="1:11" ht="14.25" customHeight="1" x14ac:dyDescent="0.25">
      <c r="A8" s="23">
        <v>1</v>
      </c>
      <c r="B8" s="24" t="s">
        <v>96</v>
      </c>
      <c r="C8" s="78">
        <v>103</v>
      </c>
      <c r="D8" s="78">
        <v>54</v>
      </c>
      <c r="E8" s="23">
        <f>IF(SUM(C8:D8)=0,0,SUM(C8:D8))</f>
        <v>157</v>
      </c>
      <c r="F8" s="25">
        <f>IF(E8=0,"",E8/$E$55)</f>
        <v>9.7863825914590438E-4</v>
      </c>
    </row>
    <row r="9" spans="1:11" ht="14.25" customHeight="1" x14ac:dyDescent="0.25">
      <c r="A9" s="23">
        <v>2</v>
      </c>
      <c r="B9" s="24" t="s">
        <v>95</v>
      </c>
      <c r="C9" s="78">
        <v>840</v>
      </c>
      <c r="D9" s="78">
        <v>553</v>
      </c>
      <c r="E9" s="23">
        <f>IF(SUM(C9:D9)=0,0,SUM(C9:D9))</f>
        <v>1393</v>
      </c>
      <c r="F9" s="25">
        <f>IF(E9=0,"",E9/$E$55)</f>
        <v>8.6830770381544249E-3</v>
      </c>
    </row>
    <row r="10" spans="1:11" ht="14.25" customHeight="1" x14ac:dyDescent="0.25">
      <c r="A10" s="23">
        <v>3</v>
      </c>
      <c r="B10" s="24" t="s">
        <v>89</v>
      </c>
      <c r="C10" s="78">
        <v>3808</v>
      </c>
      <c r="D10" s="78">
        <v>449</v>
      </c>
      <c r="E10" s="23">
        <f>IF(SUM(C10:D10)=0,0,SUM(C10:D10))</f>
        <v>4257</v>
      </c>
      <c r="F10" s="25">
        <f>IF(E10=0,"",E10/$E$55)</f>
        <v>2.653543356168226E-2</v>
      </c>
    </row>
    <row r="11" spans="1:11" ht="14.25" customHeight="1" x14ac:dyDescent="0.25">
      <c r="A11" s="23"/>
      <c r="B11" s="115" t="s">
        <v>102</v>
      </c>
      <c r="C11" s="78">
        <v>8</v>
      </c>
      <c r="D11" s="78">
        <v>7</v>
      </c>
      <c r="E11" s="23">
        <f>IF(SUM(C11:D11)=0,0,SUM(C11:D11))</f>
        <v>15</v>
      </c>
      <c r="F11" s="25">
        <f>IF(E11=0,"",E11/$E$55)</f>
        <v>9.3500470619035451E-5</v>
      </c>
    </row>
    <row r="12" spans="1:11" ht="14.25" customHeight="1" x14ac:dyDescent="0.25">
      <c r="A12" s="23">
        <v>4</v>
      </c>
      <c r="B12" s="24" t="s">
        <v>57</v>
      </c>
      <c r="C12" s="78">
        <v>4739</v>
      </c>
      <c r="D12" s="78">
        <v>200</v>
      </c>
      <c r="E12" s="23">
        <f t="shared" ref="E12:E54" si="0">IF(SUM(C12:D12)=0,0,SUM(C12:D12))</f>
        <v>4939</v>
      </c>
      <c r="F12" s="25">
        <f>IF(E12=0,"",E12/$E$55)</f>
        <v>3.0786588292494404E-2</v>
      </c>
    </row>
    <row r="13" spans="1:11" ht="14.25" customHeight="1" x14ac:dyDescent="0.25">
      <c r="A13" s="23">
        <v>5</v>
      </c>
      <c r="B13" s="24" t="s">
        <v>56</v>
      </c>
      <c r="C13" s="78"/>
      <c r="D13" s="78">
        <v>0</v>
      </c>
      <c r="E13" s="23">
        <f t="shared" si="0"/>
        <v>0</v>
      </c>
      <c r="F13" s="25" t="str">
        <f>IF(E13=0,"",E13/$E$55)</f>
        <v/>
      </c>
    </row>
    <row r="14" spans="1:11" ht="14.25" customHeight="1" x14ac:dyDescent="0.25">
      <c r="A14" s="23">
        <v>6</v>
      </c>
      <c r="B14" s="24" t="s">
        <v>10</v>
      </c>
      <c r="C14" s="78">
        <v>3186</v>
      </c>
      <c r="D14" s="78">
        <v>39</v>
      </c>
      <c r="E14" s="23">
        <f t="shared" si="0"/>
        <v>3225</v>
      </c>
      <c r="F14" s="25">
        <f>IF(E14=0,"",E14/$E$55)</f>
        <v>2.0102601183092622E-2</v>
      </c>
    </row>
    <row r="15" spans="1:11" ht="14.25" customHeight="1" x14ac:dyDescent="0.25">
      <c r="A15" s="23">
        <v>7</v>
      </c>
      <c r="B15" s="24" t="s">
        <v>12</v>
      </c>
      <c r="C15" s="78">
        <v>8254</v>
      </c>
      <c r="D15" s="78">
        <v>1368</v>
      </c>
      <c r="E15" s="23">
        <f t="shared" si="0"/>
        <v>9622</v>
      </c>
      <c r="F15" s="25">
        <f>IF(E15=0,"",E15/$E$55)</f>
        <v>5.997743521975727E-2</v>
      </c>
    </row>
    <row r="16" spans="1:11" ht="14.25" customHeight="1" x14ac:dyDescent="0.25">
      <c r="A16" s="23">
        <v>8</v>
      </c>
      <c r="B16" s="24" t="s">
        <v>14</v>
      </c>
      <c r="C16" s="78">
        <v>323</v>
      </c>
      <c r="D16" s="78">
        <v>1226</v>
      </c>
      <c r="E16" s="23">
        <f t="shared" si="0"/>
        <v>1549</v>
      </c>
      <c r="F16" s="25">
        <f>IF(E16=0,"",E16/$E$55)</f>
        <v>9.6554819325923944E-3</v>
      </c>
    </row>
    <row r="17" spans="1:6" ht="14.25" customHeight="1" x14ac:dyDescent="0.25">
      <c r="A17" s="23">
        <v>9</v>
      </c>
      <c r="B17" s="24" t="s">
        <v>91</v>
      </c>
      <c r="C17" s="78">
        <v>9207</v>
      </c>
      <c r="D17" s="78">
        <v>358</v>
      </c>
      <c r="E17" s="23">
        <f>IF(SUM(C17:D17)=0,0,SUM(C17:D17))</f>
        <v>9565</v>
      </c>
      <c r="F17" s="25">
        <f>IF(E17=0,"",E17/$E$55)</f>
        <v>5.962213343140494E-2</v>
      </c>
    </row>
    <row r="18" spans="1:6" ht="14.25" customHeight="1" x14ac:dyDescent="0.25">
      <c r="A18" s="23">
        <v>10</v>
      </c>
      <c r="B18" s="24" t="s">
        <v>88</v>
      </c>
      <c r="C18" s="78">
        <v>546</v>
      </c>
      <c r="D18" s="78">
        <v>242</v>
      </c>
      <c r="E18" s="23">
        <f t="shared" si="0"/>
        <v>788</v>
      </c>
      <c r="F18" s="25">
        <f>IF(E18=0,"",E18/$E$55)</f>
        <v>4.9118913898533291E-3</v>
      </c>
    </row>
    <row r="19" spans="1:6" ht="14.25" customHeight="1" x14ac:dyDescent="0.25">
      <c r="A19" s="23">
        <v>11</v>
      </c>
      <c r="B19" s="24" t="s">
        <v>55</v>
      </c>
      <c r="C19" s="78">
        <v>52</v>
      </c>
      <c r="D19" s="78">
        <v>1260</v>
      </c>
      <c r="E19" s="23">
        <f t="shared" si="0"/>
        <v>1312</v>
      </c>
      <c r="F19" s="25">
        <f>IF(E19=0,"",E19/$E$55)</f>
        <v>8.1781744968116334E-3</v>
      </c>
    </row>
    <row r="20" spans="1:6" ht="14.25" customHeight="1" x14ac:dyDescent="0.25">
      <c r="A20" s="23">
        <v>12</v>
      </c>
      <c r="B20" s="24" t="s">
        <v>17</v>
      </c>
      <c r="C20" s="78">
        <v>19672</v>
      </c>
      <c r="D20" s="78">
        <v>3731</v>
      </c>
      <c r="E20" s="23">
        <f t="shared" si="0"/>
        <v>23403</v>
      </c>
      <c r="F20" s="25">
        <f>IF(E20=0,"",E20/$E$55)</f>
        <v>0.14587943425981911</v>
      </c>
    </row>
    <row r="21" spans="1:6" ht="14.25" customHeight="1" x14ac:dyDescent="0.25">
      <c r="A21" s="23">
        <v>13</v>
      </c>
      <c r="B21" s="79" t="s">
        <v>52</v>
      </c>
      <c r="C21" s="78">
        <v>7145</v>
      </c>
      <c r="D21" s="78">
        <v>921</v>
      </c>
      <c r="E21" s="23">
        <f t="shared" si="0"/>
        <v>8066</v>
      </c>
      <c r="F21" s="25">
        <f>IF(E21=0,"",E21/$E$55)</f>
        <v>5.0278319734209327E-2</v>
      </c>
    </row>
    <row r="22" spans="1:6" ht="14.25" customHeight="1" x14ac:dyDescent="0.25">
      <c r="A22" s="23">
        <v>14</v>
      </c>
      <c r="B22" s="115" t="s">
        <v>98</v>
      </c>
      <c r="C22" s="78">
        <v>11387</v>
      </c>
      <c r="D22" s="78">
        <v>996</v>
      </c>
      <c r="E22" s="23">
        <f t="shared" si="0"/>
        <v>12383</v>
      </c>
      <c r="F22" s="25">
        <f>IF(E22=0,"",E22/$E$55)</f>
        <v>7.7187755178367734E-2</v>
      </c>
    </row>
    <row r="23" spans="1:6" ht="14.25" customHeight="1" x14ac:dyDescent="0.25">
      <c r="A23" s="23">
        <v>15</v>
      </c>
      <c r="B23" s="79" t="s">
        <v>48</v>
      </c>
      <c r="C23" s="78">
        <v>5330</v>
      </c>
      <c r="D23" s="78">
        <v>630</v>
      </c>
      <c r="E23" s="23">
        <f t="shared" si="0"/>
        <v>5960</v>
      </c>
      <c r="F23" s="25">
        <f>IF(E23=0,"",E23/$E$55)</f>
        <v>3.7150853659296754E-2</v>
      </c>
    </row>
    <row r="24" spans="1:6" ht="14.25" customHeight="1" x14ac:dyDescent="0.25">
      <c r="A24" s="23">
        <v>16</v>
      </c>
      <c r="B24" s="115" t="s">
        <v>100</v>
      </c>
      <c r="C24" s="78">
        <v>179</v>
      </c>
      <c r="D24" s="78">
        <v>797</v>
      </c>
      <c r="E24" s="23">
        <f t="shared" si="0"/>
        <v>976</v>
      </c>
      <c r="F24" s="25">
        <f>IF(E24=0,"",E24/$E$55)</f>
        <v>6.0837639549452399E-3</v>
      </c>
    </row>
    <row r="25" spans="1:6" ht="14.25" customHeight="1" x14ac:dyDescent="0.25">
      <c r="A25" s="23">
        <v>17</v>
      </c>
      <c r="B25" s="24" t="s">
        <v>18</v>
      </c>
      <c r="C25" s="78">
        <v>12</v>
      </c>
      <c r="D25" s="78">
        <v>80</v>
      </c>
      <c r="E25" s="23">
        <f t="shared" si="0"/>
        <v>92</v>
      </c>
      <c r="F25" s="25">
        <f>IF(E25=0,"",E25/$E$55)</f>
        <v>5.7346955313008412E-4</v>
      </c>
    </row>
    <row r="26" spans="1:6" ht="14.25" customHeight="1" x14ac:dyDescent="0.25">
      <c r="A26" s="23">
        <v>18</v>
      </c>
      <c r="B26" s="24" t="s">
        <v>64</v>
      </c>
      <c r="C26" s="78">
        <v>793</v>
      </c>
      <c r="D26" s="78">
        <v>128</v>
      </c>
      <c r="E26" s="23">
        <f t="shared" si="0"/>
        <v>921</v>
      </c>
      <c r="F26" s="25">
        <f>IF(E26=0,"",E26/$E$55)</f>
        <v>5.7409288960087769E-3</v>
      </c>
    </row>
    <row r="27" spans="1:6" ht="14.25" customHeight="1" x14ac:dyDescent="0.25">
      <c r="A27" s="23">
        <v>19</v>
      </c>
      <c r="B27" s="24" t="s">
        <v>19</v>
      </c>
      <c r="C27" s="78">
        <v>0</v>
      </c>
      <c r="D27" s="78">
        <v>115</v>
      </c>
      <c r="E27" s="23">
        <f t="shared" si="0"/>
        <v>115</v>
      </c>
      <c r="F27" s="25">
        <f>IF(E27=0,"",E27/$E$55)</f>
        <v>7.1683694141260509E-4</v>
      </c>
    </row>
    <row r="28" spans="1:6" ht="14.25" customHeight="1" x14ac:dyDescent="0.25">
      <c r="A28" s="23">
        <v>20</v>
      </c>
      <c r="B28" s="24" t="s">
        <v>97</v>
      </c>
      <c r="C28" s="78">
        <v>1284</v>
      </c>
      <c r="D28" s="78">
        <v>6</v>
      </c>
      <c r="E28" s="23">
        <f>IF(SUM(C28:D28)=0,0,SUM(C28:D28))</f>
        <v>1290</v>
      </c>
      <c r="F28" s="25">
        <f>IF(E28=0,"",E28/$E$55)</f>
        <v>8.0410404732370478E-3</v>
      </c>
    </row>
    <row r="29" spans="1:6" ht="14.25" customHeight="1" x14ac:dyDescent="0.25">
      <c r="A29" s="23">
        <v>21</v>
      </c>
      <c r="B29" s="24" t="s">
        <v>63</v>
      </c>
      <c r="C29" s="78">
        <v>963</v>
      </c>
      <c r="D29" s="78">
        <v>48</v>
      </c>
      <c r="E29" s="23">
        <f t="shared" si="0"/>
        <v>1011</v>
      </c>
      <c r="F29" s="25">
        <f>IF(E29=0,"",E29/$E$55)</f>
        <v>6.3019317197229889E-3</v>
      </c>
    </row>
    <row r="30" spans="1:6" ht="14.25" customHeight="1" x14ac:dyDescent="0.25">
      <c r="A30" s="23">
        <v>22</v>
      </c>
      <c r="B30" s="24" t="s">
        <v>82</v>
      </c>
      <c r="C30" s="78">
        <v>423</v>
      </c>
      <c r="D30" s="78">
        <v>14</v>
      </c>
      <c r="E30" s="23">
        <f>IF(SUM(C30:D30)=0,0,SUM(C30:D30))</f>
        <v>437</v>
      </c>
      <c r="F30" s="25">
        <f>IF(E30=0,"",E30/$E$55)</f>
        <v>2.7239803773678995E-3</v>
      </c>
    </row>
    <row r="31" spans="1:6" ht="14.25" customHeight="1" x14ac:dyDescent="0.25">
      <c r="A31" s="23">
        <v>23</v>
      </c>
      <c r="B31" s="24" t="s">
        <v>20</v>
      </c>
      <c r="C31" s="78">
        <v>218</v>
      </c>
      <c r="D31" s="78">
        <v>1652</v>
      </c>
      <c r="E31" s="23">
        <f t="shared" si="0"/>
        <v>1870</v>
      </c>
      <c r="F31" s="25">
        <f>IF(E31=0,"",E31/$E$55)</f>
        <v>1.1656392003839753E-2</v>
      </c>
    </row>
    <row r="32" spans="1:6" ht="14.25" customHeight="1" x14ac:dyDescent="0.25">
      <c r="A32" s="23">
        <v>24</v>
      </c>
      <c r="B32" s="24" t="s">
        <v>21</v>
      </c>
      <c r="C32" s="78">
        <v>0</v>
      </c>
      <c r="D32" s="78"/>
      <c r="E32" s="23">
        <f t="shared" si="0"/>
        <v>0</v>
      </c>
      <c r="F32" s="25" t="str">
        <f>IF(E32=0,"",E32/$E$55)</f>
        <v/>
      </c>
    </row>
    <row r="33" spans="1:6" ht="14.25" customHeight="1" x14ac:dyDescent="0.25">
      <c r="A33" s="23">
        <v>25</v>
      </c>
      <c r="B33" s="24" t="s">
        <v>22</v>
      </c>
      <c r="C33" s="78">
        <v>44</v>
      </c>
      <c r="D33" s="78">
        <v>489</v>
      </c>
      <c r="E33" s="23">
        <f t="shared" si="0"/>
        <v>533</v>
      </c>
      <c r="F33" s="25">
        <f>IF(E33=0,"",E33/$E$55)</f>
        <v>3.3223833893297264E-3</v>
      </c>
    </row>
    <row r="34" spans="1:6" ht="14.25" customHeight="1" x14ac:dyDescent="0.25">
      <c r="A34" s="23">
        <v>26</v>
      </c>
      <c r="B34" s="24" t="s">
        <v>83</v>
      </c>
      <c r="C34" s="78">
        <v>0</v>
      </c>
      <c r="D34" s="78">
        <v>28</v>
      </c>
      <c r="E34" s="23">
        <f>IF(SUM(C34:D34)=0,0,SUM(C34:D34))</f>
        <v>28</v>
      </c>
      <c r="F34" s="25">
        <f>IF(E34=0,"",E34/$E$55)</f>
        <v>1.7453421182219952E-4</v>
      </c>
    </row>
    <row r="35" spans="1:6" ht="14.25" customHeight="1" x14ac:dyDescent="0.25">
      <c r="A35" s="23">
        <v>27</v>
      </c>
      <c r="B35" s="24" t="s">
        <v>53</v>
      </c>
      <c r="C35" s="78">
        <v>16805</v>
      </c>
      <c r="D35" s="78">
        <v>609</v>
      </c>
      <c r="E35" s="23">
        <f t="shared" si="0"/>
        <v>17414</v>
      </c>
      <c r="F35" s="25">
        <f>IF(E35=0,"",E35/$E$55)</f>
        <v>0.10854781302399222</v>
      </c>
    </row>
    <row r="36" spans="1:6" ht="14.25" customHeight="1" x14ac:dyDescent="0.25">
      <c r="A36" s="23">
        <v>28</v>
      </c>
      <c r="B36" s="24" t="s">
        <v>62</v>
      </c>
      <c r="C36" s="78">
        <v>2381</v>
      </c>
      <c r="D36" s="78">
        <v>28</v>
      </c>
      <c r="E36" s="23">
        <f>IF(SUM(C36:D36)=0,0,SUM(C36:D36))</f>
        <v>2409</v>
      </c>
      <c r="F36" s="25">
        <f>IF(E36=0,"",E36/$E$55)</f>
        <v>1.5016175581417093E-2</v>
      </c>
    </row>
    <row r="37" spans="1:6" ht="14.25" customHeight="1" x14ac:dyDescent="0.25">
      <c r="A37" s="23">
        <v>29</v>
      </c>
      <c r="B37" s="24" t="s">
        <v>87</v>
      </c>
      <c r="C37" s="78">
        <v>107</v>
      </c>
      <c r="D37" s="78">
        <v>31</v>
      </c>
      <c r="E37" s="23">
        <f>IF(SUM(C37:D37)=0,0,SUM(C37:D37))</f>
        <v>138</v>
      </c>
      <c r="F37" s="25">
        <f>IF(E37=0,"",E37/$E$55)</f>
        <v>8.6020432969512617E-4</v>
      </c>
    </row>
    <row r="38" spans="1:6" ht="14.25" customHeight="1" x14ac:dyDescent="0.25">
      <c r="A38" s="23">
        <v>30</v>
      </c>
      <c r="B38" s="115" t="s">
        <v>93</v>
      </c>
      <c r="C38" s="78">
        <v>635</v>
      </c>
      <c r="D38" s="78">
        <v>19</v>
      </c>
      <c r="E38" s="23">
        <f>IF(SUM(C38:D38)=0,0,SUM(C38:D38))</f>
        <v>654</v>
      </c>
      <c r="F38" s="25">
        <f>IF(E38=0,"",E38/$E$55)</f>
        <v>4.0766205189899452E-3</v>
      </c>
    </row>
    <row r="39" spans="1:6" ht="14.25" customHeight="1" x14ac:dyDescent="0.25">
      <c r="A39" s="23">
        <v>31</v>
      </c>
      <c r="B39" s="24" t="s">
        <v>24</v>
      </c>
      <c r="C39" s="78">
        <v>18240</v>
      </c>
      <c r="D39" s="78">
        <v>1217</v>
      </c>
      <c r="E39" s="23">
        <f t="shared" si="0"/>
        <v>19457</v>
      </c>
      <c r="F39" s="25">
        <f>IF(E39=0,"",E39/$E$55)</f>
        <v>0.12128257712230485</v>
      </c>
    </row>
    <row r="40" spans="1:6" ht="14.25" customHeight="1" x14ac:dyDescent="0.25">
      <c r="A40" s="23">
        <v>32</v>
      </c>
      <c r="B40" s="24" t="s">
        <v>59</v>
      </c>
      <c r="C40" s="78">
        <v>0</v>
      </c>
      <c r="D40" s="78">
        <v>0</v>
      </c>
      <c r="E40" s="23">
        <f t="shared" si="0"/>
        <v>0</v>
      </c>
      <c r="F40" s="25" t="str">
        <f>IF(E40=0,"",E40/$E$55)</f>
        <v/>
      </c>
    </row>
    <row r="41" spans="1:6" ht="14.25" customHeight="1" x14ac:dyDescent="0.25">
      <c r="A41" s="23">
        <v>33</v>
      </c>
      <c r="B41" s="115" t="s">
        <v>94</v>
      </c>
      <c r="C41" s="78">
        <v>1</v>
      </c>
      <c r="D41" s="78">
        <v>46</v>
      </c>
      <c r="E41" s="23">
        <f>IF(SUM(C41:D41)=0,0,SUM(C41:D41))</f>
        <v>47</v>
      </c>
      <c r="F41" s="25">
        <f>IF(E41=0,"",E41/$E$55)</f>
        <v>2.9296814127297775E-4</v>
      </c>
    </row>
    <row r="42" spans="1:6" ht="14.25" customHeight="1" x14ac:dyDescent="0.25">
      <c r="A42" s="23">
        <v>34</v>
      </c>
      <c r="B42" s="82" t="s">
        <v>51</v>
      </c>
      <c r="C42" s="78">
        <v>0</v>
      </c>
      <c r="D42" s="78">
        <v>0</v>
      </c>
      <c r="E42" s="23">
        <f t="shared" si="0"/>
        <v>0</v>
      </c>
      <c r="F42" s="25" t="str">
        <f t="shared" ref="F42:F54" si="1">IF(E42=0,"",E42/$E$55)</f>
        <v/>
      </c>
    </row>
    <row r="43" spans="1:6" ht="14.25" customHeight="1" x14ac:dyDescent="0.25">
      <c r="A43" s="23">
        <v>35</v>
      </c>
      <c r="B43" s="115" t="s">
        <v>99</v>
      </c>
      <c r="C43" s="78">
        <v>19</v>
      </c>
      <c r="D43" s="78">
        <v>2174</v>
      </c>
      <c r="E43" s="23">
        <f t="shared" si="0"/>
        <v>2193</v>
      </c>
      <c r="F43" s="25">
        <f t="shared" si="1"/>
        <v>1.3669768804502982E-2</v>
      </c>
    </row>
    <row r="44" spans="1:6" x14ac:dyDescent="0.25">
      <c r="A44" s="23">
        <v>36</v>
      </c>
      <c r="B44" s="24" t="s">
        <v>58</v>
      </c>
      <c r="C44" s="78">
        <v>0</v>
      </c>
      <c r="D44" s="78">
        <v>1</v>
      </c>
      <c r="E44" s="23">
        <f>IF(SUM(C44:D44)=0,0,SUM(C44:D44))</f>
        <v>1</v>
      </c>
      <c r="F44" s="25">
        <f t="shared" si="1"/>
        <v>6.2333647079356964E-6</v>
      </c>
    </row>
    <row r="45" spans="1:6" x14ac:dyDescent="0.25">
      <c r="A45" s="23">
        <v>37</v>
      </c>
      <c r="B45" s="24" t="s">
        <v>61</v>
      </c>
      <c r="C45" s="78">
        <v>1090</v>
      </c>
      <c r="D45" s="78">
        <v>158</v>
      </c>
      <c r="E45" s="23">
        <f>IF(SUM(C45:D45)=0,0,SUM(C45:D45))</f>
        <v>1248</v>
      </c>
      <c r="F45" s="25">
        <f t="shared" si="1"/>
        <v>7.7792391555037491E-3</v>
      </c>
    </row>
    <row r="46" spans="1:6" x14ac:dyDescent="0.25">
      <c r="A46" s="23">
        <v>38</v>
      </c>
      <c r="B46" s="24" t="s">
        <v>54</v>
      </c>
      <c r="C46" s="78">
        <v>7762</v>
      </c>
      <c r="D46" s="78">
        <v>532</v>
      </c>
      <c r="E46" s="23">
        <f t="shared" si="0"/>
        <v>8294</v>
      </c>
      <c r="F46" s="25">
        <f t="shared" si="1"/>
        <v>5.1699526887618669E-2</v>
      </c>
    </row>
    <row r="47" spans="1:6" x14ac:dyDescent="0.25">
      <c r="A47" s="23">
        <v>39</v>
      </c>
      <c r="B47" s="24" t="s">
        <v>25</v>
      </c>
      <c r="C47" s="78">
        <v>6</v>
      </c>
      <c r="D47" s="78">
        <v>531</v>
      </c>
      <c r="E47" s="23">
        <f t="shared" si="0"/>
        <v>537</v>
      </c>
      <c r="F47" s="25">
        <f t="shared" si="1"/>
        <v>3.3473168481614689E-3</v>
      </c>
    </row>
    <row r="48" spans="1:6" x14ac:dyDescent="0.25">
      <c r="A48" s="23">
        <v>40</v>
      </c>
      <c r="B48" s="24" t="s">
        <v>90</v>
      </c>
      <c r="C48" s="78"/>
      <c r="D48" s="78">
        <v>15</v>
      </c>
      <c r="E48" s="23">
        <f>IF(SUM(C48:D48)=0,0,SUM(C48:D48))</f>
        <v>15</v>
      </c>
      <c r="F48" s="25">
        <f t="shared" si="1"/>
        <v>9.3500470619035451E-5</v>
      </c>
    </row>
    <row r="49" spans="1:6" x14ac:dyDescent="0.25">
      <c r="A49" s="23">
        <v>41</v>
      </c>
      <c r="B49" s="24" t="s">
        <v>92</v>
      </c>
      <c r="C49" s="78">
        <v>2443</v>
      </c>
      <c r="D49" s="78">
        <v>62</v>
      </c>
      <c r="E49" s="23">
        <f>IF(SUM(C49:D49)=0,0,SUM(C49:D49))</f>
        <v>2505</v>
      </c>
      <c r="F49" s="25">
        <f t="shared" si="1"/>
        <v>1.5614578593378919E-2</v>
      </c>
    </row>
    <row r="50" spans="1:6" x14ac:dyDescent="0.25">
      <c r="A50" s="23">
        <v>42</v>
      </c>
      <c r="B50" s="24" t="s">
        <v>26</v>
      </c>
      <c r="C50" s="78">
        <v>3</v>
      </c>
      <c r="D50" s="78">
        <v>562</v>
      </c>
      <c r="E50" s="23">
        <f t="shared" si="0"/>
        <v>565</v>
      </c>
      <c r="F50" s="25">
        <f t="shared" si="1"/>
        <v>3.5218510599836685E-3</v>
      </c>
    </row>
    <row r="51" spans="1:6" x14ac:dyDescent="0.25">
      <c r="A51" s="23">
        <v>43</v>
      </c>
      <c r="B51" s="24" t="s">
        <v>86</v>
      </c>
      <c r="C51" s="78">
        <v>0</v>
      </c>
      <c r="D51" s="78">
        <v>0</v>
      </c>
      <c r="E51" s="23">
        <f>IF(SUM(C51:D51)=0,0,SUM(C51:D51))</f>
        <v>0</v>
      </c>
      <c r="F51" s="25" t="str">
        <f t="shared" si="1"/>
        <v/>
      </c>
    </row>
    <row r="52" spans="1:6" x14ac:dyDescent="0.25">
      <c r="A52" s="23">
        <v>44</v>
      </c>
      <c r="B52" s="79" t="s">
        <v>50</v>
      </c>
      <c r="C52" s="78">
        <v>6163</v>
      </c>
      <c r="D52" s="78">
        <v>191</v>
      </c>
      <c r="E52" s="23">
        <f t="shared" si="0"/>
        <v>6354</v>
      </c>
      <c r="F52" s="25">
        <f t="shared" si="1"/>
        <v>3.960679935422342E-2</v>
      </c>
    </row>
    <row r="53" spans="1:6" x14ac:dyDescent="0.25">
      <c r="A53" s="23">
        <v>45</v>
      </c>
      <c r="B53" s="79" t="s">
        <v>49</v>
      </c>
      <c r="C53" s="78">
        <v>2873</v>
      </c>
      <c r="D53" s="78">
        <v>340</v>
      </c>
      <c r="E53" s="23">
        <f t="shared" si="0"/>
        <v>3213</v>
      </c>
      <c r="F53" s="25">
        <f t="shared" si="1"/>
        <v>2.0027800806597395E-2</v>
      </c>
    </row>
    <row r="54" spans="1:6" ht="13.8" thickBot="1" x14ac:dyDescent="0.3">
      <c r="A54" s="23">
        <v>46</v>
      </c>
      <c r="B54" s="113" t="s">
        <v>85</v>
      </c>
      <c r="C54" s="80">
        <v>1272</v>
      </c>
      <c r="D54" s="80">
        <v>204</v>
      </c>
      <c r="E54" s="73">
        <f t="shared" si="0"/>
        <v>1476</v>
      </c>
      <c r="F54" s="81">
        <f t="shared" si="1"/>
        <v>9.2004463089130888E-3</v>
      </c>
    </row>
    <row r="55" spans="1:6" ht="13.8" thickTop="1" x14ac:dyDescent="0.25">
      <c r="B55" s="6" t="s">
        <v>27</v>
      </c>
      <c r="C55" s="74">
        <f>IF(SUM(C8:C54)=0,0,SUM(C8:C54))</f>
        <v>138316</v>
      </c>
      <c r="D55" s="74">
        <f>IF(SUM(D8:D54)=0,0,SUM(D8:D54))</f>
        <v>22111</v>
      </c>
      <c r="E55" s="74">
        <f>IF(SUM(E8:E54)=0,0,SUM(E8:E54))</f>
        <v>160427</v>
      </c>
      <c r="F55" s="83">
        <f>IF($E$55=0,0,E55/$E$55)</f>
        <v>1</v>
      </c>
    </row>
    <row r="56" spans="1:6" x14ac:dyDescent="0.25">
      <c r="A56" s="2" t="s">
        <v>31</v>
      </c>
      <c r="B56" s="19"/>
      <c r="C56" s="19"/>
      <c r="D56" s="19"/>
      <c r="E56" s="19"/>
    </row>
    <row r="57" spans="1:6" x14ac:dyDescent="0.25">
      <c r="A57" s="2" t="s">
        <v>36</v>
      </c>
      <c r="D57" s="19"/>
      <c r="E57" s="19"/>
    </row>
    <row r="58" spans="1:6" x14ac:dyDescent="0.25">
      <c r="A58" s="2" t="s">
        <v>37</v>
      </c>
      <c r="C58" s="12"/>
      <c r="D58" s="12"/>
      <c r="E58" s="12"/>
    </row>
    <row r="59" spans="1:6" x14ac:dyDescent="0.25">
      <c r="C59" s="12"/>
      <c r="D59" s="12"/>
      <c r="E59" s="12"/>
    </row>
    <row r="62" spans="1:6" x14ac:dyDescent="0.25">
      <c r="B62" s="1" t="str">
        <f>'Summary Load Customers '!A34</f>
        <v>Dated 10/04/2013</v>
      </c>
    </row>
  </sheetData>
  <phoneticPr fontId="0" type="noConversion"/>
  <printOptions horizontalCentered="1"/>
  <pageMargins left="0.5" right="0.5" top="0.5" bottom="0.25" header="0" footer="0"/>
  <pageSetup scale="97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C28" sqref="C28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81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80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September 30, 2013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72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78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40</v>
      </c>
      <c r="E10" s="57"/>
      <c r="F10" s="36" t="s">
        <v>47</v>
      </c>
      <c r="G10" s="38"/>
    </row>
    <row r="11" spans="1:9" ht="18" customHeight="1" x14ac:dyDescent="0.25">
      <c r="A11" s="41"/>
      <c r="B11" s="42" t="s">
        <v>23</v>
      </c>
      <c r="C11" s="43" t="s">
        <v>34</v>
      </c>
      <c r="D11" s="42" t="str">
        <f>B11</f>
        <v>Customers</v>
      </c>
      <c r="E11" s="43" t="s">
        <v>34</v>
      </c>
      <c r="F11" s="42" t="str">
        <f>B11</f>
        <v>Customers</v>
      </c>
      <c r="G11" s="43" t="s">
        <v>33</v>
      </c>
    </row>
    <row r="12" spans="1:9" ht="18" customHeight="1" x14ac:dyDescent="0.25">
      <c r="A12" s="44" t="s">
        <v>74</v>
      </c>
      <c r="B12" s="47">
        <f>REC_programs_detail!B22</f>
        <v>4692</v>
      </c>
      <c r="C12" s="48">
        <f>IF(B12=0,0,B12/'Summary Load Customers '!$B$21)</f>
        <v>1.5980708709690605E-2</v>
      </c>
      <c r="D12" s="47">
        <f>REC_programs_detail!C22</f>
        <v>48</v>
      </c>
      <c r="E12" s="48">
        <f>IF(D12=0,0,D12/('Summary Load Customers '!$D$21+'Summary Load Customers '!$F$21))</f>
        <v>1.2331406551059731E-3</v>
      </c>
      <c r="F12" s="47">
        <f>B12+D12</f>
        <v>4740</v>
      </c>
      <c r="G12" s="48">
        <f>IF(F12=0,0,F12/'Summary Load Customers '!$H$21)</f>
        <v>1.4254395857203431E-2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4,740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73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40</v>
      </c>
      <c r="E17" s="57"/>
      <c r="F17" s="36" t="s">
        <v>47</v>
      </c>
      <c r="G17" s="38"/>
    </row>
    <row r="18" spans="1:9" ht="18" customHeight="1" x14ac:dyDescent="0.25">
      <c r="A18" s="41"/>
      <c r="B18" s="42" t="s">
        <v>23</v>
      </c>
      <c r="C18" s="43" t="s">
        <v>34</v>
      </c>
      <c r="D18" s="42" t="str">
        <f>B18</f>
        <v>Customers</v>
      </c>
      <c r="E18" s="43" t="s">
        <v>34</v>
      </c>
      <c r="F18" s="42" t="str">
        <f>B18</f>
        <v>Customers</v>
      </c>
      <c r="G18" s="43" t="s">
        <v>33</v>
      </c>
    </row>
    <row r="19" spans="1:9" ht="18" customHeight="1" x14ac:dyDescent="0.25">
      <c r="A19" s="44" t="s">
        <v>75</v>
      </c>
      <c r="B19" s="47">
        <f>REC_programs_detail!B28</f>
        <v>974</v>
      </c>
      <c r="C19" s="48">
        <f>IF(B19=0,0,B19/'Summary Load Customers '!$B$21)</f>
        <v>3.3173934960014167E-3</v>
      </c>
      <c r="D19" s="47">
        <f>REC_programs_detail!C28</f>
        <v>65</v>
      </c>
      <c r="E19" s="48">
        <f>IF(D19=0,0,D19/('Summary Load Customers '!$D$21+'Summary Load Customers '!$F$21))</f>
        <v>1.6698779704560052E-3</v>
      </c>
      <c r="F19" s="47">
        <f>B19+D19</f>
        <v>1039</v>
      </c>
      <c r="G19" s="48">
        <f>IF(F19=0,0,F19/'Summary Load Customers '!$H$21)</f>
        <v>3.1245395138469125E-3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2" t="str">
        <f>"As the above table shows, "&amp;TEXT(F19,"0,000")&amp;" of UI's customers, or "&amp;TEXT(G19,"0.0%")&amp;" are participating in the REC only program."</f>
        <v>As the above table shows, 1,039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77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40</v>
      </c>
      <c r="E24" s="57"/>
      <c r="F24" s="36" t="s">
        <v>47</v>
      </c>
      <c r="G24" s="38"/>
    </row>
    <row r="25" spans="1:9" ht="13.8" x14ac:dyDescent="0.25">
      <c r="A25" s="41"/>
      <c r="B25" s="42" t="s">
        <v>23</v>
      </c>
      <c r="C25" s="43" t="s">
        <v>34</v>
      </c>
      <c r="D25" s="42" t="str">
        <f>B25</f>
        <v>Customers</v>
      </c>
      <c r="E25" s="43" t="s">
        <v>34</v>
      </c>
      <c r="F25" s="42" t="str">
        <f>B25</f>
        <v>Customers</v>
      </c>
      <c r="G25" s="43" t="s">
        <v>33</v>
      </c>
    </row>
    <row r="26" spans="1:9" ht="13.8" x14ac:dyDescent="0.25">
      <c r="A26" s="44" t="s">
        <v>76</v>
      </c>
      <c r="B26" s="47">
        <f>B12+B19</f>
        <v>5666</v>
      </c>
      <c r="C26" s="48">
        <f>IF(B26=0,0,B26/'Summary Load Customers '!$B$21)</f>
        <v>1.929810220569202E-2</v>
      </c>
      <c r="D26" s="47">
        <f>D12+D19</f>
        <v>113</v>
      </c>
      <c r="E26" s="48">
        <f>IF(D26=0,0,D26/('Summary Load Customers '!$D$21+'Summary Load Customers '!$F$21))</f>
        <v>2.9030186255619784E-3</v>
      </c>
      <c r="F26" s="47">
        <f>B26+D26</f>
        <v>5779</v>
      </c>
      <c r="G26" s="48">
        <f>IF(F26=0,0,F26/'Summary Load Customers '!$H$21)</f>
        <v>1.7378935371050345E-2</v>
      </c>
    </row>
    <row r="27" spans="1:9" ht="13.8" x14ac:dyDescent="0.25">
      <c r="G27" s="54"/>
      <c r="H27" s="32"/>
    </row>
    <row r="28" spans="1:9" ht="13.8" x14ac:dyDescent="0.25">
      <c r="A28" s="112" t="str">
        <f>"As the above table shows, "&amp;TEXT(F26,"0,000")&amp;" of UI's customers, or "&amp;TEXT(G26,"0.0%")&amp;" are participating in the combined REC programs."</f>
        <v>As the above table shows, 5,779 of UI's customers, or 1.7% are participating in the combined REC programs.</v>
      </c>
      <c r="G28" s="54"/>
      <c r="H28" s="32"/>
    </row>
    <row r="30" spans="1:9" ht="13.8" x14ac:dyDescent="0.25">
      <c r="A30" s="71" t="s">
        <v>46</v>
      </c>
    </row>
    <row r="31" spans="1:9" ht="13.8" x14ac:dyDescent="0.25">
      <c r="A31" s="71"/>
    </row>
    <row r="32" spans="1:9" ht="13.8" x14ac:dyDescent="0.25">
      <c r="A32" s="71" t="s">
        <v>79</v>
      </c>
    </row>
    <row r="34" spans="1:1" x14ac:dyDescent="0.25">
      <c r="A34" s="72" t="s">
        <v>31</v>
      </c>
    </row>
    <row r="36" spans="1:1" x14ac:dyDescent="0.25">
      <c r="A36" s="3" t="str">
        <f>'Summary Load Customers '!A34</f>
        <v>Dated 10/04/2013</v>
      </c>
    </row>
  </sheetData>
  <phoneticPr fontId="10" type="noConversion"/>
  <pageMargins left="0.75" right="0.75" top="1" bottom="1" header="0.5" footer="0.5"/>
  <pageSetup scale="64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B27" sqref="B27"/>
    </sheetView>
  </sheetViews>
  <sheetFormatPr defaultColWidth="9.109375" defaultRowHeight="10.199999999999999" x14ac:dyDescent="0.2"/>
  <cols>
    <col min="1" max="1" width="28" style="87" customWidth="1"/>
    <col min="2" max="3" width="19.109375" style="87" customWidth="1"/>
    <col min="4" max="4" width="20.33203125" style="87" customWidth="1"/>
    <col min="5" max="5" width="7.109375" style="87" customWidth="1"/>
    <col min="6" max="6" width="23.33203125" style="87" bestFit="1" customWidth="1"/>
    <col min="7" max="7" width="10.44140625" style="87" customWidth="1"/>
    <col min="8" max="16384" width="9.109375" style="87"/>
  </cols>
  <sheetData>
    <row r="1" spans="1:8" s="86" customFormat="1" x14ac:dyDescent="0.25">
      <c r="A1" s="116" t="str">
        <f>'Summary Load Customers '!A1</f>
        <v>The United Illuminating Company</v>
      </c>
      <c r="B1" s="116"/>
      <c r="C1" s="116"/>
      <c r="D1" s="116"/>
      <c r="E1" s="84"/>
      <c r="F1" s="84"/>
      <c r="G1" s="85"/>
    </row>
    <row r="2" spans="1:8" s="86" customFormat="1" x14ac:dyDescent="0.25">
      <c r="A2" s="116" t="s">
        <v>65</v>
      </c>
      <c r="B2" s="116"/>
      <c r="C2" s="116"/>
      <c r="D2" s="116"/>
      <c r="E2" s="84"/>
      <c r="F2" s="84"/>
      <c r="G2" s="85"/>
    </row>
    <row r="3" spans="1:8" s="86" customFormat="1" x14ac:dyDescent="0.25">
      <c r="A3" s="116" t="s">
        <v>2</v>
      </c>
      <c r="B3" s="116"/>
      <c r="C3" s="116"/>
      <c r="D3" s="116"/>
      <c r="E3" s="84"/>
      <c r="F3" s="84"/>
      <c r="G3" s="85"/>
    </row>
    <row r="4" spans="1:8" s="86" customFormat="1" x14ac:dyDescent="0.25">
      <c r="A4" s="116" t="str">
        <f>'Summary Load Customers '!A5</f>
        <v>Data as of September 30, 2013</v>
      </c>
      <c r="B4" s="116"/>
      <c r="C4" s="116"/>
      <c r="D4" s="116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0.399999999999999" x14ac:dyDescent="0.2">
      <c r="A6" s="89" t="s">
        <v>67</v>
      </c>
      <c r="B6" s="90" t="s">
        <v>5</v>
      </c>
      <c r="C6" s="89" t="s">
        <v>6</v>
      </c>
      <c r="D6" s="89" t="s">
        <v>47</v>
      </c>
      <c r="E6" s="91"/>
      <c r="F6" s="91"/>
      <c r="G6" s="92"/>
      <c r="H6" s="93"/>
    </row>
    <row r="7" spans="1:8" x14ac:dyDescent="0.2">
      <c r="A7" s="95" t="s">
        <v>66</v>
      </c>
      <c r="B7" s="96" t="s">
        <v>32</v>
      </c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28</v>
      </c>
      <c r="B8" s="97">
        <v>196</v>
      </c>
      <c r="C8" s="97">
        <v>2</v>
      </c>
      <c r="D8" s="98">
        <f>SUM(B8:C8)</f>
        <v>198</v>
      </c>
      <c r="E8" s="100"/>
      <c r="F8" s="100"/>
      <c r="G8" s="99"/>
      <c r="H8" s="88"/>
    </row>
    <row r="9" spans="1:8" x14ac:dyDescent="0.2">
      <c r="A9" s="95" t="s">
        <v>29</v>
      </c>
      <c r="B9" s="97">
        <v>3884</v>
      </c>
      <c r="C9" s="97">
        <v>45</v>
      </c>
      <c r="D9" s="98">
        <f>SUM(B9:C9)</f>
        <v>3929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4080</v>
      </c>
      <c r="C10" s="104">
        <f>IF(SUM(C7:C9)=0,0,SUM(C7:C9))</f>
        <v>47</v>
      </c>
      <c r="D10" s="104">
        <f>IF(SUM(D7:D9)=0,0,SUM(D7:D9))</f>
        <v>4127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0.399999999999999" x14ac:dyDescent="0.2">
      <c r="A12" s="89" t="s">
        <v>70</v>
      </c>
      <c r="B12" s="89" t="s">
        <v>5</v>
      </c>
      <c r="C12" s="89" t="str">
        <f>C6</f>
        <v>Business</v>
      </c>
      <c r="D12" s="89" t="s">
        <v>47</v>
      </c>
      <c r="E12" s="107"/>
      <c r="F12" s="108"/>
      <c r="G12" s="106"/>
      <c r="H12" s="88"/>
    </row>
    <row r="13" spans="1:8" x14ac:dyDescent="0.2">
      <c r="A13" s="95" t="s">
        <v>66</v>
      </c>
      <c r="B13" s="96" t="s">
        <v>32</v>
      </c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28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29</v>
      </c>
      <c r="B15" s="97">
        <v>609</v>
      </c>
      <c r="C15" s="97">
        <v>1</v>
      </c>
      <c r="D15" s="98">
        <f>SUM(B15:C15)</f>
        <v>610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612</v>
      </c>
      <c r="C16" s="104">
        <f>IF(SUM(C13:C15)=0,0,SUM(C13:C15))</f>
        <v>1</v>
      </c>
      <c r="D16" s="104">
        <f>IF(SUM(D13:D15)=0,0,SUM(D13:D15))</f>
        <v>613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0.399999999999999" x14ac:dyDescent="0.2">
      <c r="A18" s="89" t="s">
        <v>71</v>
      </c>
      <c r="B18" s="89" t="s">
        <v>5</v>
      </c>
      <c r="C18" s="89" t="str">
        <f>C6</f>
        <v>Business</v>
      </c>
      <c r="D18" s="89" t="s">
        <v>47</v>
      </c>
      <c r="E18" s="107"/>
      <c r="F18" s="108"/>
      <c r="G18" s="106"/>
      <c r="H18" s="88"/>
    </row>
    <row r="19" spans="1:8" x14ac:dyDescent="0.2">
      <c r="A19" s="95" t="s">
        <v>66</v>
      </c>
      <c r="B19" s="96" t="s">
        <v>32</v>
      </c>
      <c r="C19" s="109">
        <f t="shared" ref="C19:D21" si="0">IF(C7+C13=0,0,C7+C13)</f>
        <v>0</v>
      </c>
      <c r="D19" s="98">
        <f t="shared" si="0"/>
        <v>0</v>
      </c>
      <c r="E19" s="106"/>
      <c r="F19" s="106"/>
      <c r="G19" s="106"/>
      <c r="H19" s="88"/>
    </row>
    <row r="20" spans="1:8" x14ac:dyDescent="0.2">
      <c r="A20" s="95" t="s">
        <v>28</v>
      </c>
      <c r="B20" s="109">
        <f>IF(B8+B14=0,0,B8+B14)</f>
        <v>199</v>
      </c>
      <c r="C20" s="109">
        <f t="shared" si="0"/>
        <v>2</v>
      </c>
      <c r="D20" s="98">
        <f t="shared" si="0"/>
        <v>201</v>
      </c>
      <c r="E20" s="99"/>
      <c r="F20" s="106"/>
      <c r="G20" s="106"/>
      <c r="H20" s="88"/>
    </row>
    <row r="21" spans="1:8" x14ac:dyDescent="0.2">
      <c r="A21" s="95" t="s">
        <v>29</v>
      </c>
      <c r="B21" s="109">
        <f>IF(B9+B15=0,0,B9+B15)</f>
        <v>4493</v>
      </c>
      <c r="C21" s="109">
        <f t="shared" si="0"/>
        <v>46</v>
      </c>
      <c r="D21" s="98">
        <f t="shared" si="0"/>
        <v>4539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4692</v>
      </c>
      <c r="C22" s="104">
        <f>IF(SUM(C19:C21)=0,0,SUM(C19:C21))</f>
        <v>48</v>
      </c>
      <c r="D22" s="104">
        <f>SUM(D19:D21)</f>
        <v>4740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0.399999999999999" x14ac:dyDescent="0.2">
      <c r="A24" s="89" t="s">
        <v>68</v>
      </c>
      <c r="B24" s="89" t="s">
        <v>5</v>
      </c>
      <c r="C24" s="89">
        <f>C17</f>
        <v>0</v>
      </c>
      <c r="D24" s="89" t="s">
        <v>47</v>
      </c>
    </row>
    <row r="25" spans="1:8" x14ac:dyDescent="0.2">
      <c r="A25" s="95" t="s">
        <v>66</v>
      </c>
      <c r="B25" s="96" t="s">
        <v>32</v>
      </c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28</v>
      </c>
      <c r="B26" s="97">
        <v>262</v>
      </c>
      <c r="C26" s="97">
        <v>11</v>
      </c>
      <c r="D26" s="98">
        <f>SUM(B26:C26)</f>
        <v>273</v>
      </c>
    </row>
    <row r="27" spans="1:8" x14ac:dyDescent="0.2">
      <c r="A27" s="95" t="s">
        <v>29</v>
      </c>
      <c r="B27" s="97">
        <v>712</v>
      </c>
      <c r="C27" s="97">
        <v>54</v>
      </c>
      <c r="D27" s="98">
        <f>SUM(B27:C27)</f>
        <v>766</v>
      </c>
    </row>
    <row r="28" spans="1:8" x14ac:dyDescent="0.2">
      <c r="A28" s="103" t="str">
        <f>A22</f>
        <v>Total</v>
      </c>
      <c r="B28" s="104">
        <f>IF(B26+B27=0,0,B26+B27)</f>
        <v>974</v>
      </c>
      <c r="C28" s="104">
        <f>IF(SUM(C25:C27)=0,0,SUM(C25:C27))</f>
        <v>65</v>
      </c>
      <c r="D28" s="104">
        <f>IF(SUM(D25:D27)=0,0,SUM(D25:D27))</f>
        <v>1039</v>
      </c>
    </row>
    <row r="30" spans="1:8" x14ac:dyDescent="0.2">
      <c r="A30" s="89" t="s">
        <v>69</v>
      </c>
      <c r="B30" s="89" t="s">
        <v>5</v>
      </c>
      <c r="C30" s="89" t="str">
        <f>C18</f>
        <v>Business</v>
      </c>
      <c r="D30" s="89" t="s">
        <v>47</v>
      </c>
    </row>
    <row r="31" spans="1:8" x14ac:dyDescent="0.2">
      <c r="A31" s="95" t="s">
        <v>66</v>
      </c>
      <c r="B31" s="96" t="s">
        <v>32</v>
      </c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28</v>
      </c>
      <c r="B32" s="109">
        <f>B20+B26</f>
        <v>461</v>
      </c>
      <c r="C32" s="109">
        <f t="shared" si="1"/>
        <v>13</v>
      </c>
      <c r="D32" s="98">
        <f t="shared" si="1"/>
        <v>474</v>
      </c>
      <c r="E32" s="88"/>
      <c r="F32" s="88"/>
      <c r="G32" s="88"/>
    </row>
    <row r="33" spans="1:4" x14ac:dyDescent="0.2">
      <c r="A33" s="95" t="s">
        <v>29</v>
      </c>
      <c r="B33" s="109">
        <f>B21+B27</f>
        <v>5205</v>
      </c>
      <c r="C33" s="109">
        <f t="shared" si="1"/>
        <v>100</v>
      </c>
      <c r="D33" s="98">
        <f t="shared" si="1"/>
        <v>5305</v>
      </c>
    </row>
    <row r="34" spans="1:4" x14ac:dyDescent="0.2">
      <c r="A34" s="103" t="str">
        <f>A28</f>
        <v>Total</v>
      </c>
      <c r="B34" s="104">
        <f>IF(B32+B33=0,0,B32+B33)</f>
        <v>5666</v>
      </c>
      <c r="C34" s="104">
        <f>IF(SUM(C31:C33)=0,0,SUM(C31:C33))</f>
        <v>113</v>
      </c>
      <c r="D34" s="104">
        <f>SUM(D31:D33)</f>
        <v>5779</v>
      </c>
    </row>
    <row r="36" spans="1:4" x14ac:dyDescent="0.2">
      <c r="A36" s="110" t="str">
        <f>"In summary, "&amp;TEXT($D$22,"0,000")&amp; " of UI's customers are participating in the CTCleanEnergyOptions Program"</f>
        <v>In summary, 4,740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1,039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5,779 of UI's customers are participating in all REC programs</v>
      </c>
    </row>
    <row r="40" spans="1:4" x14ac:dyDescent="0.2">
      <c r="A40" s="111" t="s">
        <v>35</v>
      </c>
    </row>
    <row r="41" spans="1:4" x14ac:dyDescent="0.2">
      <c r="A41" s="88" t="s">
        <v>30</v>
      </c>
    </row>
    <row r="43" spans="1:4" x14ac:dyDescent="0.2">
      <c r="A43" s="87" t="str">
        <f>'Summary Load Customers '!A34</f>
        <v>Dated 10/04/2013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1" right="1" top="0.5" bottom="0.5" header="0" footer="0"/>
  <pageSetup scale="97" orientation="portrait" r:id="rId1"/>
  <headerFooter alignWithMargins="0">
    <oddHeader xml:space="preserve">&amp;RPage 4 of 4
</oddHeader>
  </headerFooter>
  <ignoredErrors>
    <ignoredError sqref="B20: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James Michaud</cp:lastModifiedBy>
  <cp:lastPrinted>2012-11-13T19:20:58Z</cp:lastPrinted>
  <dcterms:created xsi:type="dcterms:W3CDTF">2009-03-17T13:14:28Z</dcterms:created>
  <dcterms:modified xsi:type="dcterms:W3CDTF">2013-10-04T19:15:38Z</dcterms:modified>
</cp:coreProperties>
</file>