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" yWindow="3972" windowWidth="19236" windowHeight="3996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definedNames>
    <definedName name="_xlnm.Print_Area" localSheetId="3">REC_programs_detail!$A$1:$E$43</definedName>
    <definedName name="_xlnm.Print_Area" localSheetId="0">'Summary Load Customers '!$A$1:$I$34</definedName>
    <definedName name="_xlnm.Print_Area" localSheetId="2">'Summary REC Customers'!$A$1:$H$37</definedName>
  </definedNames>
  <calcPr calcId="145621"/>
</workbook>
</file>

<file path=xl/calcChain.xml><?xml version="1.0" encoding="utf-8"?>
<calcChain xmlns="http://schemas.openxmlformats.org/spreadsheetml/2006/main">
  <c r="E9" i="6" l="1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F13" i="6"/>
  <c r="F31" i="6"/>
  <c r="F39" i="6"/>
  <c r="F42" i="6"/>
  <c r="F44" i="6"/>
  <c r="F52" i="6"/>
  <c r="D19" i="8"/>
  <c r="B19" i="8"/>
  <c r="D20" i="5"/>
  <c r="B20" i="5"/>
  <c r="F19" i="8" l="1"/>
  <c r="E8" i="6" l="1"/>
  <c r="C20" i="5"/>
  <c r="B21" i="5"/>
  <c r="B33" i="5" s="1"/>
  <c r="D56" i="6"/>
  <c r="C56" i="6"/>
  <c r="C21" i="5"/>
  <c r="C33" i="5" s="1"/>
  <c r="B32" i="5"/>
  <c r="C32" i="5"/>
  <c r="A5" i="8"/>
  <c r="B28" i="5"/>
  <c r="F25" i="8"/>
  <c r="F18" i="8"/>
  <c r="F11" i="8"/>
  <c r="A37" i="8"/>
  <c r="D7" i="5"/>
  <c r="D13" i="5"/>
  <c r="C19" i="5"/>
  <c r="C31" i="5" s="1"/>
  <c r="D8" i="5"/>
  <c r="D14" i="5"/>
  <c r="D26" i="5"/>
  <c r="D9" i="5"/>
  <c r="D15" i="5"/>
  <c r="D27" i="5"/>
  <c r="C24" i="5"/>
  <c r="H19" i="7"/>
  <c r="H20" i="7"/>
  <c r="D21" i="7"/>
  <c r="E20" i="7" s="1"/>
  <c r="F21" i="7"/>
  <c r="G20" i="7" s="1"/>
  <c r="B21" i="7"/>
  <c r="C19" i="7" s="1"/>
  <c r="D25" i="8"/>
  <c r="D18" i="8"/>
  <c r="D11" i="8"/>
  <c r="A22" i="5"/>
  <c r="A28" i="5" s="1"/>
  <c r="A34" i="5" s="1"/>
  <c r="C18" i="5"/>
  <c r="C30" i="5"/>
  <c r="A43" i="5"/>
  <c r="B61" i="6"/>
  <c r="H10" i="7"/>
  <c r="H11" i="7"/>
  <c r="A1" i="6"/>
  <c r="A1" i="5"/>
  <c r="C16" i="5"/>
  <c r="C10" i="5"/>
  <c r="B10" i="5"/>
  <c r="B16" i="5"/>
  <c r="A4" i="6"/>
  <c r="A4" i="5"/>
  <c r="A21" i="7"/>
  <c r="A20" i="7"/>
  <c r="D9" i="7"/>
  <c r="F9" i="7"/>
  <c r="H9" i="7" s="1"/>
  <c r="B12" i="7"/>
  <c r="C10" i="7" s="1"/>
  <c r="D12" i="7"/>
  <c r="E11" i="7" s="1"/>
  <c r="F12" i="7"/>
  <c r="G11" i="7" s="1"/>
  <c r="D18" i="7"/>
  <c r="F18" i="7" s="1"/>
  <c r="H18" i="7" s="1"/>
  <c r="A19" i="7"/>
  <c r="A16" i="5"/>
  <c r="C12" i="5"/>
  <c r="C25" i="5"/>
  <c r="D25" i="5"/>
  <c r="C28" i="5"/>
  <c r="E19" i="7" l="1"/>
  <c r="C11" i="7"/>
  <c r="G19" i="7"/>
  <c r="D28" i="5"/>
  <c r="A37" i="5" s="1"/>
  <c r="D21" i="5"/>
  <c r="G10" i="7"/>
  <c r="H12" i="7"/>
  <c r="I10" i="7" s="1"/>
  <c r="A13" i="7" s="1"/>
  <c r="E19" i="8"/>
  <c r="H21" i="7"/>
  <c r="I20" i="7" s="1"/>
  <c r="A24" i="7" s="1"/>
  <c r="C20" i="7"/>
  <c r="D33" i="5"/>
  <c r="D16" i="5"/>
  <c r="C34" i="5"/>
  <c r="D10" i="5"/>
  <c r="B22" i="5"/>
  <c r="B12" i="8" s="1"/>
  <c r="C12" i="8" s="1"/>
  <c r="B34" i="5"/>
  <c r="C19" i="8"/>
  <c r="D31" i="5"/>
  <c r="E56" i="6"/>
  <c r="E10" i="7"/>
  <c r="C22" i="5"/>
  <c r="D12" i="8" s="1"/>
  <c r="D32" i="5"/>
  <c r="F10" i="6" l="1"/>
  <c r="F12" i="6"/>
  <c r="F14" i="6"/>
  <c r="F16" i="6"/>
  <c r="F18" i="6"/>
  <c r="F20" i="6"/>
  <c r="F22" i="6"/>
  <c r="F24" i="6"/>
  <c r="F26" i="6"/>
  <c r="F28" i="6"/>
  <c r="F30" i="6"/>
  <c r="F32" i="6"/>
  <c r="F34" i="6"/>
  <c r="F36" i="6"/>
  <c r="F38" i="6"/>
  <c r="F40" i="6"/>
  <c r="F46" i="6"/>
  <c r="F48" i="6"/>
  <c r="F50" i="6"/>
  <c r="F54" i="6"/>
  <c r="F49" i="6"/>
  <c r="F55" i="6"/>
  <c r="F9" i="6"/>
  <c r="F11" i="6"/>
  <c r="F15" i="6"/>
  <c r="F17" i="6"/>
  <c r="F19" i="6"/>
  <c r="F21" i="6"/>
  <c r="F23" i="6"/>
  <c r="F25" i="6"/>
  <c r="F27" i="6"/>
  <c r="F29" i="6"/>
  <c r="F33" i="6"/>
  <c r="F35" i="6"/>
  <c r="F37" i="6"/>
  <c r="F41" i="6"/>
  <c r="F43" i="6"/>
  <c r="F45" i="6"/>
  <c r="F47" i="6"/>
  <c r="F51" i="6"/>
  <c r="F53" i="6"/>
  <c r="F12" i="8"/>
  <c r="G12" i="8" s="1"/>
  <c r="A14" i="8" s="1"/>
  <c r="B26" i="8"/>
  <c r="C26" i="8" s="1"/>
  <c r="I11" i="7"/>
  <c r="A14" i="7" s="1"/>
  <c r="I19" i="7"/>
  <c r="A23" i="7" s="1"/>
  <c r="D34" i="5"/>
  <c r="A38" i="5" s="1"/>
  <c r="F8" i="6"/>
  <c r="F56" i="6"/>
  <c r="D22" i="5"/>
  <c r="A36" i="5" s="1"/>
  <c r="G19" i="8"/>
  <c r="A21" i="8" s="1"/>
  <c r="E12" i="8"/>
  <c r="D26" i="8"/>
  <c r="E26" i="8" s="1"/>
  <c r="F26" i="8" l="1"/>
  <c r="G26" i="8" l="1"/>
  <c r="A28" i="8" s="1"/>
</calcChain>
</file>

<file path=xl/sharedStrings.xml><?xml version="1.0" encoding="utf-8"?>
<sst xmlns="http://schemas.openxmlformats.org/spreadsheetml/2006/main" count="166" uniqueCount="105">
  <si>
    <t>The United Illuminating Company</t>
  </si>
  <si>
    <t>Electric Suppliers - MWh Load &amp; Customer Count Data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</si>
  <si>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</si>
  <si>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</si>
  <si>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</si>
  <si>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</si>
  <si>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</si>
  <si>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</si>
  <si>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</si>
  <si>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</si>
  <si>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Clearview Electric, Inc.</t>
  </si>
  <si>
    <t>MWh</t>
  </si>
  <si>
    <t>Consolidated Edison Solutions</t>
  </si>
  <si>
    <t>Suppliers</t>
  </si>
  <si>
    <t>Constellation New Energy, Inc.</t>
  </si>
  <si>
    <t>UI</t>
  </si>
  <si>
    <t xml:space="preserve">     Total</t>
  </si>
  <si>
    <t>Glacial Energy of New England, Inc.</t>
  </si>
  <si>
    <t>Hess Corporation</t>
  </si>
  <si>
    <t>Integrys Energy Services, Inc.</t>
  </si>
  <si>
    <t>Liberty Power Delaware, LLC</t>
  </si>
  <si>
    <t>Liberty Power Holdings, LLC</t>
  </si>
  <si>
    <t>Customers</t>
  </si>
  <si>
    <t>Public Power &amp; Utility, Inc.</t>
  </si>
  <si>
    <t>Suez Energy Resources NA</t>
  </si>
  <si>
    <t>TransCanada</t>
  </si>
  <si>
    <t>Total All Suppliers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</si>
  <si>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</si>
  <si>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</si>
  <si>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</si>
  <si>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</si>
  <si>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</si>
  <si>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</si>
  <si>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</si>
  <si>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</si>
  <si>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</si>
  <si>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</si>
  <si>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</si>
  <si>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</si>
  <si>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</si>
  <si>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</si>
  <si>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</si>
  <si>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</si>
  <si>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</si>
  <si>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</si>
  <si>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</si>
  <si>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Energy Plus</t>
  </si>
  <si>
    <t>Viridian Energy</t>
  </si>
  <si>
    <t>Verde Energy</t>
  </si>
  <si>
    <t>ResCom Energy</t>
  </si>
  <si>
    <t>Discount Power</t>
  </si>
  <si>
    <t>North American Power</t>
  </si>
  <si>
    <t>Starion Energy</t>
  </si>
  <si>
    <t>Cianbro</t>
  </si>
  <si>
    <t>Choice Energy</t>
  </si>
  <si>
    <t>South Jersey Energy Company</t>
  </si>
  <si>
    <t>Reliable Power</t>
  </si>
  <si>
    <t>Summary Data</t>
  </si>
  <si>
    <t>Spark Energy</t>
  </si>
  <si>
    <t>Palmco Power</t>
  </si>
  <si>
    <t>HOP Energy</t>
  </si>
  <si>
    <t>Gulf Oil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</si>
  <si>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</si>
  <si>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</si>
  <si>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</si>
  <si>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</si>
  <si>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</si>
  <si>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</si>
  <si>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</si>
  <si>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</si>
  <si>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</si>
  <si>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</si>
  <si>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</si>
  <si>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</si>
  <si>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</si>
  <si>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</si>
  <si>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</si>
  <si>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t>Independence Energy</t>
  </si>
  <si>
    <t>Mint Energy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</si>
  <si>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</si>
  <si>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Xoom Energy</t>
  </si>
  <si>
    <t>Trupro Energy</t>
  </si>
  <si>
    <t>CT Gas &amp; Electric</t>
  </si>
  <si>
    <t>Ambit Energy</t>
  </si>
  <si>
    <t>Texas Retail</t>
  </si>
  <si>
    <t>Constellation (F/K/A MX Energy)</t>
  </si>
  <si>
    <r>
      <t xml:space="preserve">Town Square Energy </t>
    </r>
    <r>
      <rPr>
        <sz val="8"/>
        <rFont val="Arial"/>
        <family val="2"/>
      </rPr>
      <t>(F/K/A Community Power)</t>
    </r>
  </si>
  <si>
    <t>Perigee Energy</t>
  </si>
  <si>
    <t>Reliant Energy</t>
  </si>
  <si>
    <t>Aequitas Energy</t>
  </si>
  <si>
    <t>Abest Power</t>
  </si>
  <si>
    <t>Hiko Energy</t>
  </si>
  <si>
    <t>Dominion Energy Solutions</t>
  </si>
  <si>
    <t>Noble ((F/K/A Sempra Energy Solutions)</t>
  </si>
  <si>
    <t>Nextera (F/K/A Gexa Energy Connecticut, LLC)</t>
  </si>
  <si>
    <t>Blue Pilot Energy</t>
  </si>
  <si>
    <t>Mega Energy</t>
  </si>
  <si>
    <t>Peoples Power &amp; Gas</t>
  </si>
  <si>
    <t xml:space="preserve">   customers support clean energy through a surcharge on their bill.</t>
  </si>
  <si>
    <t>Direct Energy Business</t>
  </si>
  <si>
    <t>Direct Energy Service</t>
  </si>
  <si>
    <t>Data as of January 31, 2014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</si>
  <si>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</si>
  <si>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</si>
  <si>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Dated 02/10/2014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</si>
</sst>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16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Fill="1" applyProtection="1"/>
    <xf numFmtId="0" fontId="7" fillId="0" borderId="0" xfId="0" applyFont="1" applyFill="1" applyBorder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Protection="1"/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0" fontId="0" fillId="0" borderId="0" xfId="0" applyFill="1" applyBorder="1" applyProtection="1"/>
    <xf numFmtId="164" fontId="8" fillId="0" borderId="0" xfId="0" applyNumberFormat="1" applyFont="1" applyFill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0" fontId="9" fillId="0" borderId="2" xfId="0" applyFont="1" applyFill="1" applyBorder="1" applyProtection="1"/>
    <xf numFmtId="164" fontId="9" fillId="0" borderId="2" xfId="2" applyNumberFormat="1" applyFont="1" applyFill="1" applyBorder="1" applyAlignment="1" applyProtection="1">
      <alignment horizontal="center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6" xfId="0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 vertical="center"/>
    </xf>
    <xf numFmtId="0" fontId="0" fillId="2" borderId="7" xfId="0" applyFill="1" applyBorder="1" applyAlignment="1" applyProtection="1">
      <alignment horizontal="centerContinuous" vertical="center"/>
    </xf>
    <xf numFmtId="9" fontId="3" fillId="2" borderId="7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9" xfId="2" applyNumberFormat="1" applyFont="1" applyFill="1" applyBorder="1" applyAlignment="1" applyProtection="1">
      <alignment horizontal="center"/>
    </xf>
    <xf numFmtId="3" fontId="4" fillId="2" borderId="8" xfId="0" applyNumberFormat="1" applyFont="1" applyFill="1" applyBorder="1" applyAlignment="1" applyProtection="1">
      <alignment horizontal="center"/>
    </xf>
    <xf numFmtId="3" fontId="4" fillId="2" borderId="10" xfId="0" applyNumberFormat="1" applyFont="1" applyFill="1" applyBorder="1" applyAlignment="1" applyProtection="1">
      <alignment horizontal="center"/>
    </xf>
    <xf numFmtId="164" fontId="4" fillId="2" borderId="11" xfId="2" applyNumberFormat="1" applyFont="1" applyFill="1" applyBorder="1" applyAlignment="1" applyProtection="1">
      <alignment horizontal="center"/>
    </xf>
    <xf numFmtId="0" fontId="4" fillId="2" borderId="11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/>
    </xf>
    <xf numFmtId="0" fontId="0" fillId="2" borderId="7" xfId="0" applyFill="1" applyBorder="1" applyAlignment="1" applyProtection="1">
      <alignment horizontal="centerContinuous"/>
    </xf>
    <xf numFmtId="9" fontId="4" fillId="2" borderId="9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1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9" fillId="0" borderId="12" xfId="0" applyNumberFormat="1" applyFont="1" applyFill="1" applyBorder="1" applyAlignment="1" applyProtection="1">
      <alignment horizontal="center"/>
    </xf>
    <xf numFmtId="3" fontId="8" fillId="0" borderId="3" xfId="0" applyNumberFormat="1" applyFont="1" applyFill="1" applyBorder="1" applyAlignment="1" applyProtection="1">
      <alignment horizontal="center"/>
    </xf>
    <xf numFmtId="3" fontId="4" fillId="0" borderId="8" xfId="0" applyNumberFormat="1" applyFont="1" applyFill="1" applyBorder="1" applyAlignment="1" applyProtection="1">
      <alignment horizontal="center"/>
      <protection locked="0"/>
    </xf>
    <xf numFmtId="3" fontId="6" fillId="0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  <protection locked="0"/>
    </xf>
    <xf numFmtId="3" fontId="9" fillId="0" borderId="2" xfId="0" applyNumberFormat="1" applyFont="1" applyFill="1" applyBorder="1" applyAlignment="1" applyProtection="1">
      <protection locked="0"/>
    </xf>
    <xf numFmtId="3" fontId="9" fillId="0" borderId="12" xfId="0" applyNumberFormat="1" applyFont="1" applyFill="1" applyBorder="1" applyAlignment="1" applyProtection="1">
      <alignment horizontal="center"/>
      <protection locked="0"/>
    </xf>
    <xf numFmtId="164" fontId="9" fillId="0" borderId="12" xfId="2" applyNumberFormat="1" applyFont="1" applyFill="1" applyBorder="1" applyAlignment="1" applyProtection="1">
      <alignment horizontal="center"/>
    </xf>
    <xf numFmtId="0" fontId="9" fillId="0" borderId="2" xfId="0" applyFont="1" applyFill="1" applyBorder="1" applyProtection="1">
      <protection locked="0"/>
    </xf>
    <xf numFmtId="164" fontId="9" fillId="0" borderId="3" xfId="2" applyNumberFormat="1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3" fontId="9" fillId="0" borderId="13" xfId="0" applyNumberFormat="1" applyFont="1" applyFill="1" applyBorder="1" applyAlignment="1" applyProtection="1">
      <protection locked="0"/>
    </xf>
    <xf numFmtId="0" fontId="1" fillId="2" borderId="0" xfId="0" applyFont="1" applyFill="1" applyProtection="1"/>
    <xf numFmtId="0" fontId="1" fillId="0" borderId="2" xfId="0" applyFont="1" applyFill="1" applyBorder="1" applyProtection="1"/>
    <xf numFmtId="0" fontId="10" fillId="0" borderId="0" xfId="0" applyFont="1" applyFill="1" applyProtection="1"/>
    <xf numFmtId="0" fontId="11" fillId="2" borderId="0" xfId="0" applyFont="1" applyFill="1" applyBorder="1" applyAlignment="1" applyProtection="1">
      <alignment horizontal="center" vertical="center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showGridLines="0" showZeros="0" tabSelected="1" zoomScaleNormal="100" workbookViewId="0"/>
  </sheetViews>
  <sheetFormatPr defaultColWidth="9.109375" defaultRowHeight="13.2" x14ac:dyDescent="0.25"/>
  <cols>
    <col min="1" max="1" width="18.109375" style="3" customWidth="1"/>
    <col min="2" max="2" width="14.33203125" style="3" customWidth="1"/>
    <col min="3" max="3" width="11.6640625" style="3" customWidth="1"/>
    <col min="4" max="4" width="14.33203125" style="3" customWidth="1"/>
    <col min="5" max="5" width="11.6640625" style="3" customWidth="1"/>
    <col min="6" max="6" width="14.33203125" style="3" customWidth="1"/>
    <col min="7" max="7" width="11.6640625" style="3" customWidth="1"/>
    <col min="8" max="8" width="14.33203125" style="3" customWidth="1"/>
    <col min="9" max="9" width="11.6640625" style="3" customWidth="1"/>
    <col min="10" max="16384" width="9.109375" style="3"/>
  </cols>
  <sheetData>
    <row r="1" spans="1:9" s="10" customFormat="1" ht="18" customHeight="1" x14ac:dyDescent="0.25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9" s="10" customFormat="1" ht="18" customHeight="1" x14ac:dyDescent="0.25">
      <c r="A2" s="27" t="s">
        <v>57</v>
      </c>
      <c r="B2" s="28"/>
      <c r="C2" s="28"/>
      <c r="D2" s="28"/>
      <c r="E2" s="28"/>
      <c r="F2" s="28"/>
      <c r="G2" s="29"/>
      <c r="H2" s="30"/>
      <c r="I2" s="30"/>
    </row>
    <row r="3" spans="1:9" s="10" customFormat="1" ht="18" customHeight="1" x14ac:dyDescent="0.25">
      <c r="A3" s="27" t="s">
        <v>39</v>
      </c>
      <c r="B3" s="28"/>
      <c r="C3" s="28"/>
      <c r="D3" s="28"/>
      <c r="E3" s="28"/>
      <c r="F3" s="28"/>
      <c r="G3" s="29"/>
      <c r="H3" s="30"/>
      <c r="I3" s="30"/>
    </row>
    <row r="4" spans="1:9" s="10" customFormat="1" ht="18" customHeight="1" x14ac:dyDescent="0.25">
      <c r="A4" s="31" t="s">
        <v>2</v>
      </c>
      <c r="B4" s="30"/>
      <c r="C4" s="30"/>
      <c r="D4" s="30"/>
      <c r="E4" s="30"/>
      <c r="F4" s="30"/>
      <c r="G4" s="30"/>
      <c r="H4" s="30"/>
      <c r="I4" s="30"/>
    </row>
    <row r="5" spans="1:9" s="10" customFormat="1" ht="18" customHeight="1" x14ac:dyDescent="0.25">
      <c r="A5" s="26" t="s">
        <v>101</v>
      </c>
      <c r="B5" s="30"/>
      <c r="C5" s="30"/>
      <c r="D5" s="77"/>
      <c r="E5" s="77"/>
      <c r="F5" s="77"/>
      <c r="G5" s="30"/>
      <c r="H5" s="30"/>
      <c r="I5" s="30"/>
    </row>
    <row r="7" spans="1:9" ht="18" customHeight="1" x14ac:dyDescent="0.25">
      <c r="A7" s="33" t="s">
        <v>42</v>
      </c>
      <c r="B7" s="34"/>
      <c r="C7" s="34"/>
      <c r="D7" s="34"/>
      <c r="E7" s="34"/>
      <c r="F7" s="34"/>
      <c r="G7" s="35"/>
      <c r="H7" s="30"/>
      <c r="I7" s="30"/>
    </row>
    <row r="8" spans="1:9" s="40" customFormat="1" ht="18" customHeight="1" x14ac:dyDescent="0.25">
      <c r="A8" s="3"/>
      <c r="B8" s="36" t="s">
        <v>43</v>
      </c>
      <c r="C8" s="37"/>
      <c r="D8" s="36" t="s">
        <v>8</v>
      </c>
      <c r="E8" s="38"/>
      <c r="F8" s="36" t="s">
        <v>9</v>
      </c>
      <c r="G8" s="39"/>
      <c r="H8" s="36" t="s">
        <v>45</v>
      </c>
      <c r="I8" s="38"/>
    </row>
    <row r="9" spans="1:9" ht="18" customHeight="1" x14ac:dyDescent="0.25">
      <c r="A9" s="41"/>
      <c r="B9" s="42" t="s">
        <v>11</v>
      </c>
      <c r="C9" s="43" t="s">
        <v>32</v>
      </c>
      <c r="D9" s="42" t="str">
        <f>B9</f>
        <v>MWh</v>
      </c>
      <c r="E9" s="43" t="s">
        <v>32</v>
      </c>
      <c r="F9" s="42" t="str">
        <f>D9</f>
        <v>MWh</v>
      </c>
      <c r="G9" s="43" t="s">
        <v>32</v>
      </c>
      <c r="H9" s="42" t="str">
        <f>F9</f>
        <v>MWh</v>
      </c>
      <c r="I9" s="43" t="s">
        <v>31</v>
      </c>
    </row>
    <row r="10" spans="1:9" ht="18" customHeight="1" x14ac:dyDescent="0.25">
      <c r="A10" s="44" t="s">
        <v>13</v>
      </c>
      <c r="B10" s="75">
        <v>117950</v>
      </c>
      <c r="C10" s="45">
        <f>IF(B10=0,0,B10/$B$12)</f>
        <v>0.50346169934863705</v>
      </c>
      <c r="D10" s="75">
        <v>102613</v>
      </c>
      <c r="E10" s="45">
        <f>IF(D10=0,0,D10/$D$12)</f>
        <v>0.66598951166956566</v>
      </c>
      <c r="F10" s="75">
        <v>112997</v>
      </c>
      <c r="G10" s="45">
        <f>IF(F10=0,0,F10/$F$12)</f>
        <v>0.94193994765008915</v>
      </c>
      <c r="H10" s="46">
        <f>IF(B10+D10+F10=0,0,B10+D10+F10)</f>
        <v>333560</v>
      </c>
      <c r="I10" s="45">
        <f>IF(H10=0,0,H10/$H$12)</f>
        <v>0.65620598210561931</v>
      </c>
    </row>
    <row r="11" spans="1:9" ht="18" customHeight="1" x14ac:dyDescent="0.25">
      <c r="A11" s="44" t="s">
        <v>15</v>
      </c>
      <c r="B11" s="76">
        <v>116328</v>
      </c>
      <c r="C11" s="45">
        <f>IF(B11=0,0,B11/$B$12)</f>
        <v>0.4965383006513629</v>
      </c>
      <c r="D11" s="76">
        <v>51463</v>
      </c>
      <c r="E11" s="45">
        <f>IF(D11=0,0,D11/$D$12)</f>
        <v>0.33401048833043434</v>
      </c>
      <c r="F11" s="76">
        <v>6965</v>
      </c>
      <c r="G11" s="45">
        <f>IF(F11=0,0,F11/$F$12)</f>
        <v>5.8060052349910803E-2</v>
      </c>
      <c r="H11" s="46">
        <f>IF(B11+D11+F11=0,0,B11+D11+F11)</f>
        <v>174756</v>
      </c>
      <c r="I11" s="45">
        <f>IF(H11=0,0,H11/$H$12)</f>
        <v>0.34379401789438069</v>
      </c>
    </row>
    <row r="12" spans="1:9" ht="18" customHeight="1" x14ac:dyDescent="0.25">
      <c r="A12" s="44" t="s">
        <v>16</v>
      </c>
      <c r="B12" s="47">
        <f>SUM(B10:B11)</f>
        <v>234278</v>
      </c>
      <c r="C12" s="48"/>
      <c r="D12" s="47">
        <f>SUM(D10:D11)</f>
        <v>154076</v>
      </c>
      <c r="E12" s="48"/>
      <c r="F12" s="47">
        <f>SUM(F10:F11)</f>
        <v>119962</v>
      </c>
      <c r="G12" s="48"/>
      <c r="H12" s="47">
        <f>IF(H10+H11=0,0,H10+H11)</f>
        <v>508316</v>
      </c>
      <c r="I12" s="49"/>
    </row>
    <row r="13" spans="1:9" ht="18" customHeight="1" x14ac:dyDescent="0.25">
      <c r="A13" s="112" t="str">
        <f>"As the above table shows, "&amp;TEXT(H10,"0,000")&amp; " MWh, or "&amp;TEXT(I10,"0.0%")&amp;" of UI's total load is served by electric suppliers"</f>
        <v>As the above table shows, 333,560 MWh, or 65.6% of UI's total load is served by electric suppliers</v>
      </c>
      <c r="H13" s="32"/>
    </row>
    <row r="14" spans="1:9" ht="18" customHeight="1" x14ac:dyDescent="0.25">
      <c r="A14" s="112" t="str">
        <f>"while "&amp;TEXT(H11,"0,000")&amp;" MHh, or "&amp;TEXT(I11,"0.0%")&amp;" of the load is provided under Standard Service or Last Resort service through UI."</f>
        <v>while 174,756 MHh, or 34.4% of the load is provided under Standard Service or Last Resort service through UI.</v>
      </c>
      <c r="B14" s="51"/>
      <c r="C14" s="52"/>
      <c r="D14" s="51"/>
      <c r="E14" s="52"/>
      <c r="F14" s="53"/>
      <c r="G14" s="54"/>
      <c r="H14" s="32"/>
    </row>
    <row r="15" spans="1:9" ht="13.8" x14ac:dyDescent="0.25">
      <c r="G15" s="54"/>
      <c r="H15" s="32"/>
    </row>
    <row r="16" spans="1:9" ht="18" customHeight="1" x14ac:dyDescent="0.25">
      <c r="A16" s="33" t="s">
        <v>41</v>
      </c>
      <c r="B16" s="34"/>
      <c r="C16" s="34"/>
      <c r="D16" s="34"/>
      <c r="E16" s="34"/>
      <c r="F16" s="34"/>
      <c r="G16" s="55"/>
      <c r="H16" s="29"/>
      <c r="I16" s="30"/>
    </row>
    <row r="17" spans="1:10" ht="18" customHeight="1" x14ac:dyDescent="0.25">
      <c r="A17" s="44"/>
      <c r="B17" s="36" t="s">
        <v>43</v>
      </c>
      <c r="C17" s="56"/>
      <c r="D17" s="36" t="s">
        <v>8</v>
      </c>
      <c r="E17" s="57"/>
      <c r="F17" s="36" t="s">
        <v>9</v>
      </c>
      <c r="G17" s="39"/>
      <c r="H17" s="36" t="s">
        <v>45</v>
      </c>
      <c r="I17" s="38"/>
    </row>
    <row r="18" spans="1:10" ht="18" customHeight="1" x14ac:dyDescent="0.25">
      <c r="A18" s="41"/>
      <c r="B18" s="42" t="s">
        <v>22</v>
      </c>
      <c r="C18" s="43" t="s">
        <v>32</v>
      </c>
      <c r="D18" s="42" t="str">
        <f>B18</f>
        <v>Customers</v>
      </c>
      <c r="E18" s="43" t="s">
        <v>32</v>
      </c>
      <c r="F18" s="42" t="str">
        <f>D18</f>
        <v>Customers</v>
      </c>
      <c r="G18" s="43" t="s">
        <v>32</v>
      </c>
      <c r="H18" s="42" t="str">
        <f>F18</f>
        <v>Customers</v>
      </c>
      <c r="I18" s="43" t="s">
        <v>31</v>
      </c>
    </row>
    <row r="19" spans="1:10" ht="18" customHeight="1" x14ac:dyDescent="0.25">
      <c r="A19" s="44" t="str">
        <f>A10</f>
        <v>Suppliers</v>
      </c>
      <c r="B19" s="75">
        <v>135406</v>
      </c>
      <c r="C19" s="45">
        <f>IF(B19=0,0,B19/$B$21)</f>
        <v>0.45798340644733593</v>
      </c>
      <c r="D19" s="75">
        <v>20449</v>
      </c>
      <c r="E19" s="58">
        <f>IF(D19=0,0,D19/$D$21)</f>
        <v>0.52717195153390051</v>
      </c>
      <c r="F19" s="75">
        <v>244</v>
      </c>
      <c r="G19" s="45">
        <f>IF(F19=0,0,F19/$F$21)</f>
        <v>0.8970588235294118</v>
      </c>
      <c r="H19" s="46">
        <f>IF(B19+D19+F19=0,0,B19+D19+F19)</f>
        <v>156099</v>
      </c>
      <c r="I19" s="45">
        <f>IF(H19=0,0,H19/$H$21)</f>
        <v>0.46635834834592599</v>
      </c>
      <c r="J19" s="59"/>
    </row>
    <row r="20" spans="1:10" ht="18" customHeight="1" x14ac:dyDescent="0.25">
      <c r="A20" s="44" t="str">
        <f>A11</f>
        <v>UI</v>
      </c>
      <c r="B20" s="76">
        <v>160251</v>
      </c>
      <c r="C20" s="45">
        <f>IF(B20=0,0,B20/$B$21)</f>
        <v>0.54201659355266407</v>
      </c>
      <c r="D20" s="76">
        <v>18341</v>
      </c>
      <c r="E20" s="58">
        <f>IF(D20=0,0,D20/$D$21)</f>
        <v>0.47282804846609949</v>
      </c>
      <c r="F20" s="76">
        <v>28</v>
      </c>
      <c r="G20" s="45">
        <f>IF(F20=0,0,F20/$F$21)</f>
        <v>0.10294117647058823</v>
      </c>
      <c r="H20" s="46">
        <f>IF(B20+D20+F20=0,0,B20+D20+F20)</f>
        <v>178620</v>
      </c>
      <c r="I20" s="45">
        <f>IF(H20=0,0,H20/$H$21)</f>
        <v>0.53364165165407407</v>
      </c>
    </row>
    <row r="21" spans="1:10" ht="18" customHeight="1" x14ac:dyDescent="0.25">
      <c r="A21" s="44" t="str">
        <f>A12</f>
        <v xml:space="preserve">     Total</v>
      </c>
      <c r="B21" s="47">
        <f>SUM(B19:B20)</f>
        <v>295657</v>
      </c>
      <c r="C21" s="60"/>
      <c r="D21" s="47">
        <f>SUM(D19:D20)</f>
        <v>38790</v>
      </c>
      <c r="E21" s="48"/>
      <c r="F21" s="47">
        <f>SUM(F19:F20)</f>
        <v>272</v>
      </c>
      <c r="G21" s="48"/>
      <c r="H21" s="47">
        <f>IF(H19+H20=0,0,H19+H20)</f>
        <v>334719</v>
      </c>
      <c r="I21" s="49"/>
    </row>
    <row r="22" spans="1:10" ht="18" customHeight="1" x14ac:dyDescent="0.25">
      <c r="G22" s="54"/>
      <c r="H22" s="32"/>
    </row>
    <row r="23" spans="1:10" ht="18" customHeight="1" x14ac:dyDescent="0.25">
      <c r="A23" s="112" t="str">
        <f>"As the above table shows, "&amp;TEXT(H19,"0,000")&amp; " of UI's total customers, or "&amp;TEXT(I19,"0.0%")&amp;" are served by electric suppliers"</f>
        <v>As the above table shows, 156,099 of UI's total customers, or 46.6% are served by electric suppliers</v>
      </c>
      <c r="G23" s="54"/>
      <c r="H23" s="32"/>
    </row>
    <row r="24" spans="1:10" ht="18" customHeight="1" x14ac:dyDescent="0.25">
      <c r="A24" s="112" t="str">
        <f>"while "&amp;TEXT(H20,"0,000")&amp;" or "&amp;TEXT(I20,"0.0%")&amp;" of the customers continue to receive Standard Service or Last Resort service through UI."</f>
        <v>while 178,620 or 53.4% of the customers continue to receive Standard Service or Last Resort service through UI.</v>
      </c>
      <c r="B24" s="61"/>
      <c r="C24" s="61"/>
      <c r="D24" s="61"/>
      <c r="E24" s="61"/>
      <c r="F24" s="62"/>
      <c r="G24" s="63"/>
      <c r="H24" s="32"/>
    </row>
    <row r="25" spans="1:10" ht="18" customHeight="1" x14ac:dyDescent="0.25">
      <c r="B25" s="32"/>
      <c r="C25" s="32"/>
      <c r="D25" s="63"/>
      <c r="E25" s="63"/>
      <c r="F25" s="64"/>
      <c r="G25" s="64"/>
      <c r="H25" s="32"/>
    </row>
    <row r="27" spans="1:10" ht="13.8" x14ac:dyDescent="0.25">
      <c r="A27" s="71" t="s">
        <v>40</v>
      </c>
    </row>
    <row r="28" spans="1:10" ht="13.8" x14ac:dyDescent="0.25">
      <c r="A28" s="71" t="s">
        <v>44</v>
      </c>
    </row>
    <row r="29" spans="1:10" ht="13.8" x14ac:dyDescent="0.25">
      <c r="A29" s="71" t="s">
        <v>79</v>
      </c>
    </row>
    <row r="30" spans="1:10" x14ac:dyDescent="0.25">
      <c r="A30" s="72" t="s">
        <v>30</v>
      </c>
    </row>
    <row r="31" spans="1:10" x14ac:dyDescent="0.25">
      <c r="A31" s="72" t="s">
        <v>36</v>
      </c>
    </row>
    <row r="34" spans="1:1" x14ac:dyDescent="0.25">
      <c r="A34" s="114" t="s">
        <v>104</v>
      </c>
    </row>
  </sheetData>
  <phoneticPr fontId="0" type="noConversion"/>
  <printOptions horizontalCentered="1"/>
  <pageMargins left="0.75" right="0.5" top="1.5" bottom="0.75" header="0.5" footer="0"/>
  <pageSetup scale="77" fitToHeight="2" orientation="portrait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showGridLines="0" showZeros="0" zoomScaleNormal="100" workbookViewId="0">
      <selection activeCell="A5" sqref="A5"/>
    </sheetView>
  </sheetViews>
  <sheetFormatPr defaultColWidth="9.109375" defaultRowHeight="13.2" x14ac:dyDescent="0.25"/>
  <cols>
    <col min="1" max="1" width="4.44140625" style="1" customWidth="1"/>
    <col min="2" max="2" width="40.33203125" style="1" bestFit="1" customWidth="1"/>
    <col min="3" max="3" width="14.33203125" style="1" customWidth="1"/>
    <col min="4" max="4" width="13.6640625" style="1" customWidth="1"/>
    <col min="5" max="5" width="11.6640625" style="1" customWidth="1"/>
    <col min="6" max="6" width="16.88671875" style="1" customWidth="1"/>
    <col min="7" max="11" width="9.109375" style="1"/>
    <col min="12" max="16384" width="9.109375" style="3"/>
  </cols>
  <sheetData>
    <row r="1" spans="1:11" s="10" customFormat="1" ht="18" customHeight="1" x14ac:dyDescent="0.25">
      <c r="A1" s="15" t="str">
        <f>'Summary Load Customers '!A1</f>
        <v>The United Illuminating Company</v>
      </c>
      <c r="B1" s="16"/>
      <c r="C1" s="16"/>
      <c r="D1" s="16"/>
      <c r="E1" s="16"/>
      <c r="F1" s="8"/>
      <c r="G1" s="9"/>
      <c r="H1" s="9"/>
      <c r="I1" s="9"/>
      <c r="J1" s="9"/>
      <c r="K1" s="9"/>
    </row>
    <row r="2" spans="1:11" s="10" customFormat="1" ht="18" customHeight="1" x14ac:dyDescent="0.25">
      <c r="A2" s="15" t="s">
        <v>1</v>
      </c>
      <c r="B2" s="16"/>
      <c r="C2" s="16"/>
      <c r="D2" s="16"/>
      <c r="E2" s="16"/>
      <c r="F2" s="8"/>
      <c r="G2" s="9"/>
      <c r="H2" s="9"/>
      <c r="I2" s="9"/>
      <c r="J2" s="9"/>
      <c r="K2" s="9"/>
    </row>
    <row r="3" spans="1:11" s="10" customFormat="1" ht="18" customHeight="1" x14ac:dyDescent="0.25">
      <c r="A3" s="15" t="s">
        <v>2</v>
      </c>
      <c r="B3" s="16"/>
      <c r="C3" s="16"/>
      <c r="D3" s="16"/>
      <c r="E3" s="16"/>
      <c r="F3" s="8"/>
      <c r="G3" s="9"/>
      <c r="H3" s="9"/>
      <c r="I3" s="9"/>
      <c r="J3" s="9"/>
      <c r="K3" s="9"/>
    </row>
    <row r="4" spans="1:11" s="10" customFormat="1" ht="18" customHeight="1" x14ac:dyDescent="0.25">
      <c r="A4" s="11" t="str">
        <f>'Summary Load Customers '!A5</f>
        <v>Data as of January 31, 2014</v>
      </c>
      <c r="B4" s="16"/>
      <c r="C4" s="16"/>
      <c r="D4" s="16"/>
      <c r="E4" s="16"/>
      <c r="F4" s="17"/>
      <c r="G4" s="9"/>
      <c r="H4" s="9"/>
      <c r="I4" s="9"/>
      <c r="J4" s="9"/>
      <c r="K4" s="9"/>
    </row>
    <row r="5" spans="1:11" ht="9" customHeight="1" x14ac:dyDescent="0.25">
      <c r="A5" s="18"/>
      <c r="B5" s="7"/>
      <c r="C5" s="19"/>
      <c r="D5" s="19"/>
      <c r="E5" s="13"/>
      <c r="F5" s="13"/>
    </row>
    <row r="6" spans="1:11" s="10" customFormat="1" ht="18" customHeight="1" x14ac:dyDescent="0.25">
      <c r="A6" s="20"/>
      <c r="B6" s="21"/>
      <c r="C6" s="4" t="s">
        <v>3</v>
      </c>
      <c r="D6" s="14"/>
      <c r="E6" s="14"/>
      <c r="F6" s="22"/>
      <c r="G6" s="9"/>
      <c r="H6" s="9"/>
      <c r="I6" s="9"/>
      <c r="J6" s="9"/>
      <c r="K6" s="9"/>
    </row>
    <row r="7" spans="1:11" ht="26.4" x14ac:dyDescent="0.25">
      <c r="A7" s="23"/>
      <c r="B7" s="5" t="s">
        <v>4</v>
      </c>
      <c r="C7" s="5" t="s">
        <v>5</v>
      </c>
      <c r="D7" s="5" t="s">
        <v>6</v>
      </c>
      <c r="E7" s="5" t="s">
        <v>7</v>
      </c>
      <c r="F7" s="5" t="s">
        <v>37</v>
      </c>
    </row>
    <row r="8" spans="1:11" ht="14.25" customHeight="1" x14ac:dyDescent="0.25">
      <c r="A8" s="23">
        <v>1</v>
      </c>
      <c r="B8" s="24" t="s">
        <v>90</v>
      </c>
      <c r="C8" s="78">
        <v>1249</v>
      </c>
      <c r="D8" s="78">
        <v>194</v>
      </c>
      <c r="E8" s="23">
        <f t="shared" ref="E8:E55" si="0">IF(SUM(C8:D8)=0,0,SUM(C8:D8))</f>
        <v>1443</v>
      </c>
      <c r="F8" s="25">
        <f t="shared" ref="F8:F55" si="1">IF(E8=0,"",E8/$E$56)</f>
        <v>9.2441335306440147E-3</v>
      </c>
    </row>
    <row r="9" spans="1:11" ht="14.25" customHeight="1" x14ac:dyDescent="0.25">
      <c r="A9" s="23">
        <v>2</v>
      </c>
      <c r="B9" s="24" t="s">
        <v>89</v>
      </c>
      <c r="C9" s="78">
        <v>844</v>
      </c>
      <c r="D9" s="78">
        <v>587</v>
      </c>
      <c r="E9" s="23">
        <f t="shared" si="0"/>
        <v>1431</v>
      </c>
      <c r="F9" s="25">
        <f t="shared" si="1"/>
        <v>9.1672592393288871E-3</v>
      </c>
    </row>
    <row r="10" spans="1:11" ht="14.25" customHeight="1" x14ac:dyDescent="0.25">
      <c r="A10" s="23">
        <v>3</v>
      </c>
      <c r="B10" s="24" t="s">
        <v>83</v>
      </c>
      <c r="C10" s="78">
        <v>5585</v>
      </c>
      <c r="D10" s="78">
        <v>612</v>
      </c>
      <c r="E10" s="23">
        <f t="shared" si="0"/>
        <v>6197</v>
      </c>
      <c r="F10" s="25">
        <f t="shared" si="1"/>
        <v>3.9699165273320139E-2</v>
      </c>
    </row>
    <row r="11" spans="1:11" ht="14.25" customHeight="1" x14ac:dyDescent="0.25">
      <c r="A11" s="23">
        <v>4</v>
      </c>
      <c r="B11" s="115" t="s">
        <v>95</v>
      </c>
      <c r="C11" s="78">
        <v>17</v>
      </c>
      <c r="D11" s="78">
        <v>11</v>
      </c>
      <c r="E11" s="23">
        <f t="shared" si="0"/>
        <v>28</v>
      </c>
      <c r="F11" s="25">
        <f t="shared" si="1"/>
        <v>1.7937334640196286E-4</v>
      </c>
    </row>
    <row r="12" spans="1:11" ht="14.25" customHeight="1" x14ac:dyDescent="0.25">
      <c r="A12" s="23">
        <v>5</v>
      </c>
      <c r="B12" s="24" t="s">
        <v>54</v>
      </c>
      <c r="C12" s="78">
        <v>4274</v>
      </c>
      <c r="D12" s="78">
        <v>198</v>
      </c>
      <c r="E12" s="23">
        <f t="shared" si="0"/>
        <v>4472</v>
      </c>
      <c r="F12" s="25">
        <f t="shared" si="1"/>
        <v>2.8648485896770638E-2</v>
      </c>
    </row>
    <row r="13" spans="1:11" ht="14.25" customHeight="1" x14ac:dyDescent="0.25">
      <c r="A13" s="23">
        <v>6</v>
      </c>
      <c r="B13" s="24" t="s">
        <v>53</v>
      </c>
      <c r="C13" s="78"/>
      <c r="D13" s="78">
        <v>0</v>
      </c>
      <c r="E13" s="23">
        <f t="shared" si="0"/>
        <v>0</v>
      </c>
      <c r="F13" s="25" t="str">
        <f t="shared" si="1"/>
        <v/>
      </c>
    </row>
    <row r="14" spans="1:11" ht="14.25" customHeight="1" x14ac:dyDescent="0.25">
      <c r="A14" s="23">
        <v>7</v>
      </c>
      <c r="B14" s="24" t="s">
        <v>10</v>
      </c>
      <c r="C14" s="78">
        <v>2434</v>
      </c>
      <c r="D14" s="78">
        <v>30</v>
      </c>
      <c r="E14" s="23">
        <f t="shared" si="0"/>
        <v>2464</v>
      </c>
      <c r="F14" s="25">
        <f t="shared" si="1"/>
        <v>1.5784854483372732E-2</v>
      </c>
    </row>
    <row r="15" spans="1:11" ht="14.25" customHeight="1" x14ac:dyDescent="0.25">
      <c r="A15" s="23">
        <v>9</v>
      </c>
      <c r="B15" s="24" t="s">
        <v>12</v>
      </c>
      <c r="C15" s="78">
        <v>7148</v>
      </c>
      <c r="D15" s="78">
        <v>1075</v>
      </c>
      <c r="E15" s="23">
        <f t="shared" si="0"/>
        <v>8223</v>
      </c>
      <c r="F15" s="25">
        <f t="shared" si="1"/>
        <v>5.2678108123690733E-2</v>
      </c>
    </row>
    <row r="16" spans="1:11" ht="14.25" customHeight="1" x14ac:dyDescent="0.25">
      <c r="A16" s="23">
        <v>8</v>
      </c>
      <c r="B16" s="115" t="s">
        <v>85</v>
      </c>
      <c r="C16" s="78">
        <v>7666</v>
      </c>
      <c r="D16" s="78">
        <v>286</v>
      </c>
      <c r="E16" s="23">
        <f t="shared" si="0"/>
        <v>7952</v>
      </c>
      <c r="F16" s="25">
        <f t="shared" si="1"/>
        <v>5.0942030378157449E-2</v>
      </c>
    </row>
    <row r="17" spans="1:6" ht="14.25" customHeight="1" x14ac:dyDescent="0.25">
      <c r="A17" s="23">
        <v>10</v>
      </c>
      <c r="B17" s="24" t="s">
        <v>14</v>
      </c>
      <c r="C17" s="78">
        <v>282</v>
      </c>
      <c r="D17" s="78">
        <v>1207</v>
      </c>
      <c r="E17" s="23">
        <f t="shared" si="0"/>
        <v>1489</v>
      </c>
      <c r="F17" s="25">
        <f t="shared" si="1"/>
        <v>9.538818314018668E-3</v>
      </c>
    </row>
    <row r="18" spans="1:6" ht="14.25" customHeight="1" x14ac:dyDescent="0.25">
      <c r="A18" s="23">
        <v>11</v>
      </c>
      <c r="B18" s="24" t="s">
        <v>82</v>
      </c>
      <c r="C18" s="78">
        <v>606</v>
      </c>
      <c r="D18" s="78">
        <v>244</v>
      </c>
      <c r="E18" s="23">
        <f t="shared" si="0"/>
        <v>850</v>
      </c>
      <c r="F18" s="25">
        <f t="shared" si="1"/>
        <v>5.4452623014881584E-3</v>
      </c>
    </row>
    <row r="19" spans="1:6" ht="14.25" customHeight="1" x14ac:dyDescent="0.25">
      <c r="A19" s="23">
        <v>12</v>
      </c>
      <c r="B19" s="115" t="s">
        <v>99</v>
      </c>
      <c r="C19" s="78">
        <v>36</v>
      </c>
      <c r="D19" s="78">
        <v>1237</v>
      </c>
      <c r="E19" s="23">
        <f t="shared" si="0"/>
        <v>1273</v>
      </c>
      <c r="F19" s="25">
        <f t="shared" si="1"/>
        <v>8.155081070346383E-3</v>
      </c>
    </row>
    <row r="20" spans="1:6" ht="14.25" customHeight="1" x14ac:dyDescent="0.25">
      <c r="A20" s="23">
        <v>13</v>
      </c>
      <c r="B20" s="115" t="s">
        <v>100</v>
      </c>
      <c r="C20" s="78">
        <v>19808</v>
      </c>
      <c r="D20" s="78">
        <v>3558</v>
      </c>
      <c r="E20" s="23">
        <f t="shared" si="0"/>
        <v>23366</v>
      </c>
      <c r="F20" s="25">
        <f t="shared" si="1"/>
        <v>0.149687057572438</v>
      </c>
    </row>
    <row r="21" spans="1:6" ht="14.25" customHeight="1" x14ac:dyDescent="0.25">
      <c r="A21" s="23">
        <v>14</v>
      </c>
      <c r="B21" s="79" t="s">
        <v>50</v>
      </c>
      <c r="C21" s="78">
        <v>7201</v>
      </c>
      <c r="D21" s="78">
        <v>771</v>
      </c>
      <c r="E21" s="23">
        <f t="shared" si="0"/>
        <v>7972</v>
      </c>
      <c r="F21" s="25">
        <f t="shared" si="1"/>
        <v>5.1070154197015993E-2</v>
      </c>
    </row>
    <row r="22" spans="1:6" ht="14.25" customHeight="1" x14ac:dyDescent="0.25">
      <c r="A22" s="23">
        <v>15</v>
      </c>
      <c r="B22" s="115" t="s">
        <v>92</v>
      </c>
      <c r="C22" s="78">
        <v>10945</v>
      </c>
      <c r="D22" s="78">
        <v>1039</v>
      </c>
      <c r="E22" s="23">
        <f t="shared" si="0"/>
        <v>11984</v>
      </c>
      <c r="F22" s="25">
        <f t="shared" si="1"/>
        <v>7.6771792260040106E-2</v>
      </c>
    </row>
    <row r="23" spans="1:6" ht="14.25" customHeight="1" x14ac:dyDescent="0.25">
      <c r="A23" s="23">
        <v>16</v>
      </c>
      <c r="B23" s="79" t="s">
        <v>46</v>
      </c>
      <c r="C23" s="78">
        <v>4776</v>
      </c>
      <c r="D23" s="78">
        <v>560</v>
      </c>
      <c r="E23" s="23">
        <f t="shared" si="0"/>
        <v>5336</v>
      </c>
      <c r="F23" s="25">
        <f t="shared" si="1"/>
        <v>3.4183434871459778E-2</v>
      </c>
    </row>
    <row r="24" spans="1:6" ht="14.25" customHeight="1" x14ac:dyDescent="0.25">
      <c r="A24" s="23">
        <v>17</v>
      </c>
      <c r="B24" s="24" t="s">
        <v>17</v>
      </c>
      <c r="C24" s="78">
        <v>161</v>
      </c>
      <c r="D24" s="78">
        <v>68</v>
      </c>
      <c r="E24" s="23">
        <f t="shared" si="0"/>
        <v>229</v>
      </c>
      <c r="F24" s="25">
        <f t="shared" si="1"/>
        <v>1.467017725930339E-3</v>
      </c>
    </row>
    <row r="25" spans="1:6" ht="14.25" customHeight="1" x14ac:dyDescent="0.25">
      <c r="A25" s="23">
        <v>18</v>
      </c>
      <c r="B25" s="24" t="s">
        <v>61</v>
      </c>
      <c r="C25" s="78">
        <v>922</v>
      </c>
      <c r="D25" s="78">
        <v>147</v>
      </c>
      <c r="E25" s="23">
        <f t="shared" si="0"/>
        <v>1069</v>
      </c>
      <c r="F25" s="25">
        <f t="shared" si="1"/>
        <v>6.8482181179892248E-3</v>
      </c>
    </row>
    <row r="26" spans="1:6" ht="14.25" customHeight="1" x14ac:dyDescent="0.25">
      <c r="A26" s="23">
        <v>19</v>
      </c>
      <c r="B26" s="24" t="s">
        <v>18</v>
      </c>
      <c r="C26" s="78">
        <v>34</v>
      </c>
      <c r="D26" s="78">
        <v>133</v>
      </c>
      <c r="E26" s="23">
        <f t="shared" si="0"/>
        <v>167</v>
      </c>
      <c r="F26" s="25">
        <f t="shared" si="1"/>
        <v>1.06983388746885E-3</v>
      </c>
    </row>
    <row r="27" spans="1:6" ht="14.25" customHeight="1" x14ac:dyDescent="0.25">
      <c r="A27" s="23">
        <v>20</v>
      </c>
      <c r="B27" s="24" t="s">
        <v>91</v>
      </c>
      <c r="C27" s="78">
        <v>4037</v>
      </c>
      <c r="D27" s="78">
        <v>16</v>
      </c>
      <c r="E27" s="23">
        <f t="shared" si="0"/>
        <v>4053</v>
      </c>
      <c r="F27" s="25">
        <f t="shared" si="1"/>
        <v>2.5964291891684123E-2</v>
      </c>
    </row>
    <row r="28" spans="1:6" ht="14.25" customHeight="1" x14ac:dyDescent="0.25">
      <c r="A28" s="23">
        <v>21</v>
      </c>
      <c r="B28" s="24" t="s">
        <v>60</v>
      </c>
      <c r="C28" s="78">
        <v>869</v>
      </c>
      <c r="D28" s="78">
        <v>43</v>
      </c>
      <c r="E28" s="23">
        <f t="shared" si="0"/>
        <v>912</v>
      </c>
      <c r="F28" s="25">
        <f t="shared" si="1"/>
        <v>5.8424461399496476E-3</v>
      </c>
    </row>
    <row r="29" spans="1:6" ht="14.25" customHeight="1" x14ac:dyDescent="0.25">
      <c r="A29" s="23">
        <v>22</v>
      </c>
      <c r="B29" s="24" t="s">
        <v>77</v>
      </c>
      <c r="C29" s="78">
        <v>303</v>
      </c>
      <c r="D29" s="78">
        <v>11</v>
      </c>
      <c r="E29" s="23">
        <f t="shared" si="0"/>
        <v>314</v>
      </c>
      <c r="F29" s="25">
        <f t="shared" si="1"/>
        <v>2.0115439560791548E-3</v>
      </c>
    </row>
    <row r="30" spans="1:6" ht="14.25" customHeight="1" x14ac:dyDescent="0.25">
      <c r="A30" s="23">
        <v>23</v>
      </c>
      <c r="B30" s="115" t="s">
        <v>19</v>
      </c>
      <c r="C30" s="78">
        <v>222</v>
      </c>
      <c r="D30" s="78">
        <v>992</v>
      </c>
      <c r="E30" s="23">
        <f t="shared" si="0"/>
        <v>1214</v>
      </c>
      <c r="F30" s="25">
        <f t="shared" si="1"/>
        <v>7.7771158047136753E-3</v>
      </c>
    </row>
    <row r="31" spans="1:6" ht="14.25" customHeight="1" x14ac:dyDescent="0.25">
      <c r="A31" s="23">
        <v>24</v>
      </c>
      <c r="B31" s="24" t="s">
        <v>20</v>
      </c>
      <c r="C31" s="78">
        <v>0</v>
      </c>
      <c r="D31" s="78"/>
      <c r="E31" s="23">
        <f t="shared" si="0"/>
        <v>0</v>
      </c>
      <c r="F31" s="25" t="str">
        <f t="shared" si="1"/>
        <v/>
      </c>
    </row>
    <row r="32" spans="1:6" ht="14.25" customHeight="1" x14ac:dyDescent="0.25">
      <c r="A32" s="23">
        <v>25</v>
      </c>
      <c r="B32" s="24" t="s">
        <v>21</v>
      </c>
      <c r="C32" s="78">
        <v>32</v>
      </c>
      <c r="D32" s="78">
        <v>475</v>
      </c>
      <c r="E32" s="23">
        <f t="shared" si="0"/>
        <v>507</v>
      </c>
      <c r="F32" s="25">
        <f t="shared" si="1"/>
        <v>3.2479388080641131E-3</v>
      </c>
    </row>
    <row r="33" spans="1:6" ht="14.25" customHeight="1" x14ac:dyDescent="0.25">
      <c r="A33" s="23">
        <v>26</v>
      </c>
      <c r="B33" s="115" t="s">
        <v>96</v>
      </c>
      <c r="C33" s="78">
        <v>1</v>
      </c>
      <c r="D33" s="78">
        <v>1</v>
      </c>
      <c r="E33" s="23">
        <f t="shared" si="0"/>
        <v>2</v>
      </c>
      <c r="F33" s="25">
        <f t="shared" si="1"/>
        <v>1.2812381885854489E-5</v>
      </c>
    </row>
    <row r="34" spans="1:6" ht="14.25" customHeight="1" x14ac:dyDescent="0.25">
      <c r="A34" s="23">
        <v>27</v>
      </c>
      <c r="B34" s="24" t="s">
        <v>78</v>
      </c>
      <c r="C34" s="78">
        <v>0</v>
      </c>
      <c r="D34" s="78">
        <v>27</v>
      </c>
      <c r="E34" s="23">
        <f t="shared" si="0"/>
        <v>27</v>
      </c>
      <c r="F34" s="25">
        <f t="shared" si="1"/>
        <v>1.7296715545903562E-4</v>
      </c>
    </row>
    <row r="35" spans="1:6" ht="14.25" customHeight="1" x14ac:dyDescent="0.25">
      <c r="A35" s="23">
        <v>28</v>
      </c>
      <c r="B35" s="115" t="s">
        <v>94</v>
      </c>
      <c r="C35" s="78">
        <v>172</v>
      </c>
      <c r="D35" s="78">
        <v>654</v>
      </c>
      <c r="E35" s="23">
        <f t="shared" si="0"/>
        <v>826</v>
      </c>
      <c r="F35" s="25">
        <f t="shared" si="1"/>
        <v>5.2915137188579041E-3</v>
      </c>
    </row>
    <row r="36" spans="1:6" ht="14.25" customHeight="1" x14ac:dyDescent="0.25">
      <c r="A36" s="23">
        <v>29</v>
      </c>
      <c r="B36" s="115" t="s">
        <v>93</v>
      </c>
      <c r="C36" s="78">
        <v>20</v>
      </c>
      <c r="D36" s="78">
        <v>2149</v>
      </c>
      <c r="E36" s="23">
        <f t="shared" si="0"/>
        <v>2169</v>
      </c>
      <c r="F36" s="25">
        <f t="shared" si="1"/>
        <v>1.3895028155209195E-2</v>
      </c>
    </row>
    <row r="37" spans="1:6" ht="14.25" customHeight="1" x14ac:dyDescent="0.25">
      <c r="A37" s="23">
        <v>30</v>
      </c>
      <c r="B37" s="24" t="s">
        <v>51</v>
      </c>
      <c r="C37" s="78">
        <v>16347</v>
      </c>
      <c r="D37" s="78">
        <v>660</v>
      </c>
      <c r="E37" s="23">
        <f t="shared" si="0"/>
        <v>17007</v>
      </c>
      <c r="F37" s="25">
        <f t="shared" si="1"/>
        <v>0.10895008936636365</v>
      </c>
    </row>
    <row r="38" spans="1:6" ht="14.25" customHeight="1" x14ac:dyDescent="0.25">
      <c r="A38" s="23">
        <v>31</v>
      </c>
      <c r="B38" s="24" t="s">
        <v>59</v>
      </c>
      <c r="C38" s="78">
        <v>3390</v>
      </c>
      <c r="D38" s="78">
        <v>70</v>
      </c>
      <c r="E38" s="23">
        <f t="shared" si="0"/>
        <v>3460</v>
      </c>
      <c r="F38" s="25">
        <f t="shared" si="1"/>
        <v>2.2165420662528267E-2</v>
      </c>
    </row>
    <row r="39" spans="1:6" ht="14.25" customHeight="1" x14ac:dyDescent="0.25">
      <c r="A39" s="23">
        <v>32</v>
      </c>
      <c r="B39" s="115" t="s">
        <v>97</v>
      </c>
      <c r="C39" s="78">
        <v>0</v>
      </c>
      <c r="D39" s="78">
        <v>0</v>
      </c>
      <c r="E39" s="23">
        <f t="shared" si="0"/>
        <v>0</v>
      </c>
      <c r="F39" s="25" t="str">
        <f t="shared" si="1"/>
        <v/>
      </c>
    </row>
    <row r="40" spans="1:6" ht="14.25" customHeight="1" x14ac:dyDescent="0.25">
      <c r="A40" s="23">
        <v>33</v>
      </c>
      <c r="B40" s="115" t="s">
        <v>87</v>
      </c>
      <c r="C40" s="78">
        <v>713</v>
      </c>
      <c r="D40" s="78">
        <v>17</v>
      </c>
      <c r="E40" s="23">
        <f t="shared" si="0"/>
        <v>730</v>
      </c>
      <c r="F40" s="25">
        <f t="shared" si="1"/>
        <v>4.6765193883368892E-3</v>
      </c>
    </row>
    <row r="41" spans="1:6" ht="14.25" customHeight="1" x14ac:dyDescent="0.25">
      <c r="A41" s="23">
        <v>34</v>
      </c>
      <c r="B41" s="24" t="s">
        <v>23</v>
      </c>
      <c r="C41" s="78">
        <v>15760</v>
      </c>
      <c r="D41" s="78">
        <v>1154</v>
      </c>
      <c r="E41" s="23">
        <f t="shared" si="0"/>
        <v>16914</v>
      </c>
      <c r="F41" s="25">
        <f t="shared" si="1"/>
        <v>0.10835431360867143</v>
      </c>
    </row>
    <row r="42" spans="1:6" ht="14.25" customHeight="1" x14ac:dyDescent="0.25">
      <c r="A42" s="23">
        <v>35</v>
      </c>
      <c r="B42" s="24" t="s">
        <v>56</v>
      </c>
      <c r="C42" s="78">
        <v>0</v>
      </c>
      <c r="D42" s="78">
        <v>0</v>
      </c>
      <c r="E42" s="23">
        <f t="shared" si="0"/>
        <v>0</v>
      </c>
      <c r="F42" s="25" t="str">
        <f t="shared" si="1"/>
        <v/>
      </c>
    </row>
    <row r="43" spans="1:6" ht="14.25" customHeight="1" x14ac:dyDescent="0.25">
      <c r="A43" s="23">
        <v>36</v>
      </c>
      <c r="B43" s="115" t="s">
        <v>88</v>
      </c>
      <c r="C43" s="78">
        <v>1</v>
      </c>
      <c r="D43" s="78">
        <v>85</v>
      </c>
      <c r="E43" s="23">
        <f t="shared" si="0"/>
        <v>86</v>
      </c>
      <c r="F43" s="25">
        <f t="shared" si="1"/>
        <v>5.5093242109174303E-4</v>
      </c>
    </row>
    <row r="44" spans="1:6" x14ac:dyDescent="0.25">
      <c r="A44" s="23">
        <v>37</v>
      </c>
      <c r="B44" s="82" t="s">
        <v>49</v>
      </c>
      <c r="C44" s="78">
        <v>0</v>
      </c>
      <c r="D44" s="78">
        <v>0</v>
      </c>
      <c r="E44" s="23">
        <f t="shared" si="0"/>
        <v>0</v>
      </c>
      <c r="F44" s="25" t="str">
        <f t="shared" si="1"/>
        <v/>
      </c>
    </row>
    <row r="45" spans="1:6" x14ac:dyDescent="0.25">
      <c r="A45" s="23">
        <v>38</v>
      </c>
      <c r="B45" s="24" t="s">
        <v>55</v>
      </c>
      <c r="C45" s="78">
        <v>0</v>
      </c>
      <c r="D45" s="78">
        <v>1</v>
      </c>
      <c r="E45" s="23">
        <f t="shared" si="0"/>
        <v>1</v>
      </c>
      <c r="F45" s="25">
        <f t="shared" si="1"/>
        <v>6.4061909429272446E-6</v>
      </c>
    </row>
    <row r="46" spans="1:6" x14ac:dyDescent="0.25">
      <c r="A46" s="23">
        <v>39</v>
      </c>
      <c r="B46" s="24" t="s">
        <v>58</v>
      </c>
      <c r="C46" s="78">
        <v>1357</v>
      </c>
      <c r="D46" s="78">
        <v>128</v>
      </c>
      <c r="E46" s="23">
        <f t="shared" si="0"/>
        <v>1485</v>
      </c>
      <c r="F46" s="25">
        <f t="shared" si="1"/>
        <v>9.5131935502469588E-3</v>
      </c>
    </row>
    <row r="47" spans="1:6" x14ac:dyDescent="0.25">
      <c r="A47" s="23">
        <v>40</v>
      </c>
      <c r="B47" s="24" t="s">
        <v>52</v>
      </c>
      <c r="C47" s="78">
        <v>6080</v>
      </c>
      <c r="D47" s="78">
        <v>458</v>
      </c>
      <c r="E47" s="23">
        <f t="shared" si="0"/>
        <v>6538</v>
      </c>
      <c r="F47" s="25">
        <f t="shared" si="1"/>
        <v>4.1883676384858327E-2</v>
      </c>
    </row>
    <row r="48" spans="1:6" x14ac:dyDescent="0.25">
      <c r="A48" s="23">
        <v>41</v>
      </c>
      <c r="B48" s="24" t="s">
        <v>24</v>
      </c>
      <c r="C48" s="78">
        <v>3</v>
      </c>
      <c r="D48" s="78">
        <v>460</v>
      </c>
      <c r="E48" s="23">
        <f t="shared" si="0"/>
        <v>463</v>
      </c>
      <c r="F48" s="25">
        <f t="shared" si="1"/>
        <v>2.9660664065753145E-3</v>
      </c>
    </row>
    <row r="49" spans="1:6" x14ac:dyDescent="0.25">
      <c r="A49" s="23">
        <v>42</v>
      </c>
      <c r="B49" s="24" t="s">
        <v>84</v>
      </c>
      <c r="C49" s="78"/>
      <c r="D49" s="78">
        <v>15</v>
      </c>
      <c r="E49" s="23">
        <f t="shared" si="0"/>
        <v>15</v>
      </c>
      <c r="F49" s="25">
        <f t="shared" si="1"/>
        <v>9.609286414390868E-5</v>
      </c>
    </row>
    <row r="50" spans="1:6" x14ac:dyDescent="0.25">
      <c r="A50" s="23">
        <v>43</v>
      </c>
      <c r="B50" s="24" t="s">
        <v>86</v>
      </c>
      <c r="C50" s="78">
        <v>2067</v>
      </c>
      <c r="D50" s="78">
        <v>48</v>
      </c>
      <c r="E50" s="23">
        <f t="shared" si="0"/>
        <v>2115</v>
      </c>
      <c r="F50" s="25">
        <f t="shared" si="1"/>
        <v>1.3549093844291123E-2</v>
      </c>
    </row>
    <row r="51" spans="1:6" x14ac:dyDescent="0.25">
      <c r="A51" s="23">
        <v>44</v>
      </c>
      <c r="B51" s="24" t="s">
        <v>25</v>
      </c>
      <c r="C51" s="78">
        <v>3</v>
      </c>
      <c r="D51" s="78">
        <v>496</v>
      </c>
      <c r="E51" s="23">
        <f t="shared" si="0"/>
        <v>499</v>
      </c>
      <c r="F51" s="25">
        <f t="shared" si="1"/>
        <v>3.1966892805206952E-3</v>
      </c>
    </row>
    <row r="52" spans="1:6" x14ac:dyDescent="0.25">
      <c r="A52" s="23">
        <v>45</v>
      </c>
      <c r="B52" s="24" t="s">
        <v>81</v>
      </c>
      <c r="C52" s="78">
        <v>0</v>
      </c>
      <c r="D52" s="78">
        <v>0</v>
      </c>
      <c r="E52" s="23">
        <f t="shared" si="0"/>
        <v>0</v>
      </c>
      <c r="F52" s="25" t="str">
        <f t="shared" si="1"/>
        <v/>
      </c>
    </row>
    <row r="53" spans="1:6" x14ac:dyDescent="0.25">
      <c r="A53" s="23">
        <v>46</v>
      </c>
      <c r="B53" s="79" t="s">
        <v>48</v>
      </c>
      <c r="C53" s="78">
        <v>5977</v>
      </c>
      <c r="D53" s="78">
        <v>179</v>
      </c>
      <c r="E53" s="23">
        <f t="shared" si="0"/>
        <v>6156</v>
      </c>
      <c r="F53" s="25">
        <f t="shared" si="1"/>
        <v>3.9436511444660122E-2</v>
      </c>
    </row>
    <row r="54" spans="1:6" x14ac:dyDescent="0.25">
      <c r="A54" s="23">
        <v>47</v>
      </c>
      <c r="B54" s="79" t="s">
        <v>47</v>
      </c>
      <c r="C54" s="78">
        <v>2821</v>
      </c>
      <c r="D54" s="78">
        <v>394</v>
      </c>
      <c r="E54" s="23">
        <f t="shared" si="0"/>
        <v>3215</v>
      </c>
      <c r="F54" s="25">
        <f t="shared" si="1"/>
        <v>2.0595903881511092E-2</v>
      </c>
    </row>
    <row r="55" spans="1:6" ht="13.8" thickBot="1" x14ac:dyDescent="0.3">
      <c r="A55" s="23">
        <v>48</v>
      </c>
      <c r="B55" s="113" t="s">
        <v>80</v>
      </c>
      <c r="C55" s="80">
        <v>1243</v>
      </c>
      <c r="D55" s="80">
        <v>203</v>
      </c>
      <c r="E55" s="73">
        <f t="shared" si="0"/>
        <v>1446</v>
      </c>
      <c r="F55" s="81">
        <f t="shared" si="1"/>
        <v>9.2633521034727953E-3</v>
      </c>
    </row>
    <row r="56" spans="1:6" ht="13.8" thickTop="1" x14ac:dyDescent="0.25">
      <c r="A56" s="12"/>
      <c r="B56" s="6" t="s">
        <v>26</v>
      </c>
      <c r="C56" s="74">
        <f>IF(SUM(C8:C55)=0,0,SUM(C8:C55))</f>
        <v>135406</v>
      </c>
      <c r="D56" s="74">
        <f>IF(SUM(D8:D55)=0,0,SUM(D8:D55))</f>
        <v>20693</v>
      </c>
      <c r="E56" s="74">
        <f>IF(SUM(E8:E55)=0,0,SUM(E8:E55))</f>
        <v>156099</v>
      </c>
      <c r="F56" s="83">
        <f>IF($E$56=0,0,E56/$E$56)</f>
        <v>1</v>
      </c>
    </row>
    <row r="57" spans="1:6" x14ac:dyDescent="0.25">
      <c r="A57" s="2" t="s">
        <v>30</v>
      </c>
      <c r="B57" s="19"/>
      <c r="C57" s="19"/>
      <c r="D57" s="19"/>
      <c r="E57" s="19"/>
    </row>
    <row r="58" spans="1:6" x14ac:dyDescent="0.25">
      <c r="A58" s="2" t="s">
        <v>34</v>
      </c>
      <c r="D58" s="19"/>
      <c r="E58" s="19"/>
    </row>
    <row r="59" spans="1:6" x14ac:dyDescent="0.25">
      <c r="A59" s="2" t="s">
        <v>35</v>
      </c>
      <c r="C59" s="12"/>
      <c r="D59" s="12"/>
      <c r="E59" s="12"/>
    </row>
    <row r="60" spans="1:6" x14ac:dyDescent="0.25">
      <c r="C60" s="12"/>
      <c r="D60" s="12"/>
      <c r="E60" s="12"/>
    </row>
    <row r="61" spans="1:6" x14ac:dyDescent="0.25">
      <c r="B61" s="116" t="str">
        <f>'Summary Load Customers '!A34</f>
        <v>Dated 02/10/2014</v>
      </c>
    </row>
  </sheetData>
  <sortState ref="A8:F55">
    <sortCondition ref="B8:B55"/>
  </sortState>
  <phoneticPr fontId="0" type="noConversion"/>
  <printOptions horizontalCentered="1"/>
  <pageMargins left="0.75" right="0.5" top="0.5" bottom="0.25" header="0.5" footer="0"/>
  <pageSetup scale="89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opLeftCell="A7" zoomScaleNormal="100" zoomScalePageLayoutView="70" workbookViewId="0">
      <selection activeCell="A9" sqref="A9"/>
    </sheetView>
  </sheetViews>
  <sheetFormatPr defaultColWidth="9.109375" defaultRowHeight="13.2" x14ac:dyDescent="0.25"/>
  <cols>
    <col min="1" max="1" width="18.109375" style="3" customWidth="1"/>
    <col min="2" max="2" width="14.33203125" style="3" customWidth="1"/>
    <col min="3" max="3" width="11.6640625" style="3" customWidth="1"/>
    <col min="4" max="4" width="14.33203125" style="3" customWidth="1"/>
    <col min="5" max="5" width="11.6640625" style="3" customWidth="1"/>
    <col min="6" max="6" width="14.33203125" style="3" customWidth="1"/>
    <col min="7" max="7" width="11.6640625" style="3" customWidth="1"/>
    <col min="8" max="8" width="7.6640625" style="3" customWidth="1"/>
    <col min="9" max="9" width="11.6640625" style="3" customWidth="1"/>
    <col min="10" max="16384" width="9.109375" style="3"/>
  </cols>
  <sheetData>
    <row r="1" spans="1:9" s="10" customFormat="1" ht="18" customHeight="1" x14ac:dyDescent="0.25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9" s="10" customFormat="1" ht="18" customHeight="1" x14ac:dyDescent="0.25">
      <c r="A2" s="27" t="s">
        <v>76</v>
      </c>
      <c r="B2" s="28"/>
      <c r="C2" s="28"/>
      <c r="D2" s="28"/>
      <c r="E2" s="28"/>
      <c r="F2" s="28"/>
      <c r="G2" s="29"/>
      <c r="H2" s="30"/>
      <c r="I2" s="30"/>
    </row>
    <row r="3" spans="1:9" s="10" customFormat="1" ht="18" customHeight="1" x14ac:dyDescent="0.25">
      <c r="A3" s="27" t="s">
        <v>75</v>
      </c>
      <c r="B3" s="28"/>
      <c r="C3" s="28"/>
      <c r="D3" s="28"/>
      <c r="E3" s="28"/>
      <c r="F3" s="28"/>
      <c r="G3" s="29"/>
      <c r="H3" s="30"/>
      <c r="I3" s="30"/>
    </row>
    <row r="4" spans="1:9" s="10" customFormat="1" ht="18" customHeight="1" x14ac:dyDescent="0.25">
      <c r="A4" s="31" t="s">
        <v>2</v>
      </c>
      <c r="B4" s="30"/>
      <c r="C4" s="30"/>
      <c r="D4" s="30"/>
      <c r="E4" s="30"/>
      <c r="F4" s="30"/>
      <c r="G4" s="30"/>
      <c r="H4" s="30"/>
      <c r="I4" s="30"/>
    </row>
    <row r="5" spans="1:9" s="10" customFormat="1" ht="18" customHeight="1" x14ac:dyDescent="0.25">
      <c r="A5" s="11" t="str">
        <f>'Summary Load Customers '!A5</f>
        <v>Data as of January 31, 2014</v>
      </c>
      <c r="B5" s="30"/>
      <c r="C5" s="30"/>
      <c r="D5" s="77"/>
      <c r="E5" s="77"/>
      <c r="F5" s="77"/>
      <c r="G5" s="30"/>
      <c r="H5" s="30"/>
      <c r="I5" s="30"/>
    </row>
    <row r="6" spans="1:9" ht="18" customHeight="1" x14ac:dyDescent="0.25">
      <c r="B6" s="32"/>
      <c r="C6" s="32"/>
      <c r="D6" s="63"/>
      <c r="E6" s="63"/>
      <c r="F6" s="64"/>
      <c r="G6" s="64"/>
      <c r="H6" s="32"/>
    </row>
    <row r="7" spans="1:9" ht="18" customHeight="1" x14ac:dyDescent="0.3">
      <c r="A7" s="65" t="s">
        <v>69</v>
      </c>
      <c r="B7" s="66"/>
      <c r="C7" s="66"/>
      <c r="D7" s="67"/>
      <c r="E7" s="67"/>
      <c r="F7" s="68"/>
      <c r="G7" s="68"/>
      <c r="H7" s="66"/>
      <c r="I7" s="69"/>
    </row>
    <row r="8" spans="1:9" ht="18" customHeight="1" x14ac:dyDescent="0.4">
      <c r="B8" s="32"/>
      <c r="C8" s="32"/>
      <c r="D8" s="63"/>
      <c r="E8" s="63"/>
      <c r="F8" s="70"/>
      <c r="G8" s="70"/>
      <c r="H8" s="32"/>
    </row>
    <row r="9" spans="1:9" ht="18" customHeight="1" x14ac:dyDescent="0.25">
      <c r="A9" s="33" t="s">
        <v>102</v>
      </c>
      <c r="B9" s="34"/>
      <c r="C9" s="34"/>
      <c r="D9" s="34"/>
      <c r="E9" s="34"/>
      <c r="F9" s="34"/>
      <c r="G9" s="55"/>
      <c r="H9" s="29"/>
      <c r="I9" s="30"/>
    </row>
    <row r="10" spans="1:9" ht="18" customHeight="1" x14ac:dyDescent="0.25">
      <c r="A10" s="44"/>
      <c r="B10" s="36" t="s">
        <v>5</v>
      </c>
      <c r="C10" s="56"/>
      <c r="D10" s="36" t="s">
        <v>38</v>
      </c>
      <c r="E10" s="57"/>
      <c r="F10" s="36" t="s">
        <v>45</v>
      </c>
      <c r="G10" s="38"/>
    </row>
    <row r="11" spans="1:9" ht="18" customHeight="1" x14ac:dyDescent="0.25">
      <c r="A11" s="41"/>
      <c r="B11" s="42" t="s">
        <v>22</v>
      </c>
      <c r="C11" s="43" t="s">
        <v>32</v>
      </c>
      <c r="D11" s="42" t="str">
        <f>B11</f>
        <v>Customers</v>
      </c>
      <c r="E11" s="43" t="s">
        <v>32</v>
      </c>
      <c r="F11" s="42" t="str">
        <f>B11</f>
        <v>Customers</v>
      </c>
      <c r="G11" s="43" t="s">
        <v>31</v>
      </c>
    </row>
    <row r="12" spans="1:9" ht="18" customHeight="1" x14ac:dyDescent="0.25">
      <c r="A12" s="44" t="s">
        <v>71</v>
      </c>
      <c r="B12" s="47">
        <f>REC_programs_detail!B22</f>
        <v>4640</v>
      </c>
      <c r="C12" s="48">
        <f>IF(B12=0,0,B12/'Summary Load Customers '!$B$21)</f>
        <v>1.5693861467849568E-2</v>
      </c>
      <c r="D12" s="47">
        <f>REC_programs_detail!C22</f>
        <v>47</v>
      </c>
      <c r="E12" s="48">
        <f>IF(D12=0,0,D12/('Summary Load Customers '!$D$21+'Summary Load Customers '!$F$21))</f>
        <v>1.2032154011571347E-3</v>
      </c>
      <c r="F12" s="47">
        <f>B12+D12</f>
        <v>4687</v>
      </c>
      <c r="G12" s="48">
        <f>IF(F12=0,0,F12/'Summary Load Customers '!$H$21)</f>
        <v>1.4002790400305928E-2</v>
      </c>
    </row>
    <row r="13" spans="1:9" ht="15.75" customHeight="1" x14ac:dyDescent="0.25">
      <c r="G13" s="54"/>
      <c r="H13" s="32"/>
    </row>
    <row r="14" spans="1:9" ht="15.75" customHeight="1" x14ac:dyDescent="0.25">
      <c r="A14" s="112" t="str">
        <f>"As the above table shows, "&amp;TEXT(F12,"0,000")&amp;" of UI's customers, or "&amp;TEXT(G12,"0.0%")&amp;" are participating in the CTCleanEnergyOptions Program."</f>
        <v>As the above table shows, 4,687 of UI's customers, or 1.4% are participating in the CTCleanEnergyOptions Program.</v>
      </c>
      <c r="G14" s="54"/>
      <c r="H14" s="32"/>
    </row>
    <row r="15" spans="1:9" ht="15.75" customHeight="1" x14ac:dyDescent="0.25">
      <c r="G15" s="54"/>
      <c r="H15" s="32"/>
    </row>
    <row r="16" spans="1:9" ht="18" customHeight="1" x14ac:dyDescent="0.25">
      <c r="A16" s="33" t="s">
        <v>70</v>
      </c>
      <c r="B16" s="34"/>
      <c r="C16" s="34"/>
      <c r="D16" s="34"/>
      <c r="E16" s="34"/>
      <c r="F16" s="34"/>
      <c r="G16" s="55"/>
      <c r="H16" s="29"/>
      <c r="I16" s="30"/>
    </row>
    <row r="17" spans="1:9" ht="18" customHeight="1" x14ac:dyDescent="0.25">
      <c r="A17" s="44"/>
      <c r="B17" s="36" t="s">
        <v>5</v>
      </c>
      <c r="C17" s="56"/>
      <c r="D17" s="36" t="s">
        <v>38</v>
      </c>
      <c r="E17" s="57"/>
      <c r="F17" s="36" t="s">
        <v>45</v>
      </c>
      <c r="G17" s="38"/>
    </row>
    <row r="18" spans="1:9" ht="18" customHeight="1" x14ac:dyDescent="0.25">
      <c r="A18" s="41"/>
      <c r="B18" s="42" t="s">
        <v>22</v>
      </c>
      <c r="C18" s="43" t="s">
        <v>32</v>
      </c>
      <c r="D18" s="42" t="str">
        <f>B18</f>
        <v>Customers</v>
      </c>
      <c r="E18" s="43" t="s">
        <v>32</v>
      </c>
      <c r="F18" s="42" t="str">
        <f>B18</f>
        <v>Customers</v>
      </c>
      <c r="G18" s="43" t="s">
        <v>31</v>
      </c>
    </row>
    <row r="19" spans="1:9" ht="18" customHeight="1" x14ac:dyDescent="0.25">
      <c r="A19" s="44" t="s">
        <v>72</v>
      </c>
      <c r="B19" s="47">
        <f>REC_programs_detail!B28</f>
        <v>961</v>
      </c>
      <c r="C19" s="48">
        <f>IF(B19=0,0,B19/'Summary Load Customers '!$B$21)</f>
        <v>3.2503881186645334E-3</v>
      </c>
      <c r="D19" s="47">
        <f>REC_programs_detail!C28</f>
        <v>65</v>
      </c>
      <c r="E19" s="48">
        <f>IF(D19=0,0,D19/('Summary Load Customers '!$D$21+'Summary Load Customers '!$F$21))</f>
        <v>1.6640212994726332E-3</v>
      </c>
      <c r="F19" s="47">
        <f>B19+D19</f>
        <v>1026</v>
      </c>
      <c r="G19" s="48">
        <f>IF(F19=0,0,F19/'Summary Load Customers '!$H$21)</f>
        <v>3.0652577236428167E-3</v>
      </c>
    </row>
    <row r="20" spans="1:9" ht="18" customHeight="1" x14ac:dyDescent="0.25">
      <c r="B20" s="53"/>
      <c r="C20" s="52"/>
      <c r="D20" s="53"/>
      <c r="E20" s="52"/>
      <c r="F20" s="53"/>
      <c r="G20" s="52"/>
      <c r="H20" s="53"/>
      <c r="I20" s="52"/>
    </row>
    <row r="21" spans="1:9" ht="18" customHeight="1" x14ac:dyDescent="0.25">
      <c r="A21" s="112" t="str">
        <f>"As the above table shows, "&amp;TEXT(F19,"0,000")&amp;" of UI's customers, or "&amp;TEXT(G19,"0.0%")&amp;" are participating in the REC only program."</f>
        <v>As the above table shows, 1,026 of UI's customers, or 0.3% are participating in the REC only program.</v>
      </c>
      <c r="B21" s="53"/>
      <c r="C21" s="52"/>
      <c r="D21" s="53"/>
      <c r="E21" s="52"/>
      <c r="F21" s="53"/>
      <c r="G21" s="52"/>
      <c r="H21" s="53"/>
      <c r="I21" s="52"/>
    </row>
    <row r="22" spans="1:9" ht="13.8" x14ac:dyDescent="0.25">
      <c r="A22" s="50"/>
    </row>
    <row r="23" spans="1:9" ht="13.8" x14ac:dyDescent="0.25">
      <c r="A23" s="33" t="s">
        <v>74</v>
      </c>
      <c r="B23" s="34"/>
      <c r="C23" s="34"/>
      <c r="D23" s="34"/>
      <c r="E23" s="34"/>
      <c r="F23" s="34"/>
      <c r="G23" s="55"/>
      <c r="H23" s="29"/>
      <c r="I23" s="30"/>
    </row>
    <row r="24" spans="1:9" ht="13.8" x14ac:dyDescent="0.25">
      <c r="A24" s="44"/>
      <c r="B24" s="36" t="s">
        <v>5</v>
      </c>
      <c r="C24" s="56"/>
      <c r="D24" s="36" t="s">
        <v>38</v>
      </c>
      <c r="E24" s="57"/>
      <c r="F24" s="36" t="s">
        <v>45</v>
      </c>
      <c r="G24" s="38"/>
    </row>
    <row r="25" spans="1:9" ht="13.8" x14ac:dyDescent="0.25">
      <c r="A25" s="41"/>
      <c r="B25" s="42" t="s">
        <v>22</v>
      </c>
      <c r="C25" s="43" t="s">
        <v>32</v>
      </c>
      <c r="D25" s="42" t="str">
        <f>B25</f>
        <v>Customers</v>
      </c>
      <c r="E25" s="43" t="s">
        <v>32</v>
      </c>
      <c r="F25" s="42" t="str">
        <f>B25</f>
        <v>Customers</v>
      </c>
      <c r="G25" s="43" t="s">
        <v>31</v>
      </c>
    </row>
    <row r="26" spans="1:9" ht="13.8" x14ac:dyDescent="0.25">
      <c r="A26" s="44" t="s">
        <v>73</v>
      </c>
      <c r="B26" s="47">
        <f>B12+B19</f>
        <v>5601</v>
      </c>
      <c r="C26" s="48">
        <f>IF(B26=0,0,B26/'Summary Load Customers '!$B$21)</f>
        <v>1.8944249586514101E-2</v>
      </c>
      <c r="D26" s="47">
        <f>D12+D19</f>
        <v>112</v>
      </c>
      <c r="E26" s="48">
        <f>IF(D26=0,0,D26/('Summary Load Customers '!$D$21+'Summary Load Customers '!$F$21))</f>
        <v>2.8672367006297682E-3</v>
      </c>
      <c r="F26" s="47">
        <f>B26+D26</f>
        <v>5713</v>
      </c>
      <c r="G26" s="48">
        <f>IF(F26=0,0,F26/'Summary Load Customers '!$H$21)</f>
        <v>1.7068048123948746E-2</v>
      </c>
    </row>
    <row r="27" spans="1:9" ht="13.8" x14ac:dyDescent="0.25">
      <c r="G27" s="54"/>
      <c r="H27" s="32"/>
    </row>
    <row r="28" spans="1:9" ht="13.8" x14ac:dyDescent="0.25">
      <c r="A28" s="112" t="str">
        <f>"As the above table shows, "&amp;TEXT(F26,"0,000")&amp;" of UI's customers, or "&amp;TEXT(G26,"0.0%")&amp;" are participating in the combined REC programs."</f>
        <v>As the above table shows, 5,713 of UI's customers, or 1.7% are participating in the combined REC programs.</v>
      </c>
      <c r="G28" s="54"/>
      <c r="H28" s="32"/>
    </row>
    <row r="30" spans="1:9" ht="13.8" x14ac:dyDescent="0.25">
      <c r="A30" s="71" t="s">
        <v>44</v>
      </c>
    </row>
    <row r="31" spans="1:9" ht="13.8" x14ac:dyDescent="0.25">
      <c r="A31" s="71"/>
    </row>
    <row r="32" spans="1:9" ht="13.8" x14ac:dyDescent="0.25">
      <c r="A32" s="71" t="s">
        <v>103</v>
      </c>
    </row>
    <row r="33" spans="1:1" x14ac:dyDescent="0.25">
      <c r="A33" s="72" t="s">
        <v>98</v>
      </c>
    </row>
    <row r="35" spans="1:1" x14ac:dyDescent="0.25">
      <c r="A35" s="72" t="s">
        <v>30</v>
      </c>
    </row>
    <row r="37" spans="1:1" x14ac:dyDescent="0.25">
      <c r="A37" s="3" t="str">
        <f>'Summary Load Customers '!A34</f>
        <v>Dated 02/10/2014</v>
      </c>
    </row>
  </sheetData>
  <phoneticPr fontId="10" type="noConversion"/>
  <printOptions horizontalCentered="1"/>
  <pageMargins left="0.75" right="0.5" top="1.5" bottom="1" header="0.5" footer="0.5"/>
  <pageSetup scale="90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showZeros="0" zoomScaleNormal="100" workbookViewId="0">
      <selection activeCell="A4" sqref="A4:D4"/>
    </sheetView>
  </sheetViews>
  <sheetFormatPr defaultColWidth="9.109375" defaultRowHeight="10.199999999999999" x14ac:dyDescent="0.2"/>
  <cols>
    <col min="1" max="1" width="28" style="87" customWidth="1"/>
    <col min="2" max="3" width="19.109375" style="87" customWidth="1"/>
    <col min="4" max="4" width="20.33203125" style="87" customWidth="1"/>
    <col min="5" max="5" width="7.109375" style="87" customWidth="1"/>
    <col min="6" max="6" width="23.33203125" style="87" bestFit="1" customWidth="1"/>
    <col min="7" max="7" width="10.44140625" style="87" customWidth="1"/>
    <col min="8" max="16384" width="9.109375" style="87"/>
  </cols>
  <sheetData>
    <row r="1" spans="1:8" s="86" customFormat="1" ht="15" customHeight="1" x14ac:dyDescent="0.25">
      <c r="A1" s="117" t="str">
        <f>'Summary Load Customers '!A1</f>
        <v>The United Illuminating Company</v>
      </c>
      <c r="B1" s="117"/>
      <c r="C1" s="117"/>
      <c r="D1" s="117"/>
      <c r="E1" s="84"/>
      <c r="F1" s="84"/>
      <c r="G1" s="85"/>
    </row>
    <row r="2" spans="1:8" s="86" customFormat="1" ht="15" customHeight="1" x14ac:dyDescent="0.25">
      <c r="A2" s="117" t="s">
        <v>62</v>
      </c>
      <c r="B2" s="117"/>
      <c r="C2" s="117"/>
      <c r="D2" s="117"/>
      <c r="E2" s="84"/>
      <c r="F2" s="84"/>
      <c r="G2" s="85"/>
    </row>
    <row r="3" spans="1:8" s="86" customFormat="1" ht="15" customHeight="1" x14ac:dyDescent="0.25">
      <c r="A3" s="117" t="s">
        <v>2</v>
      </c>
      <c r="B3" s="117"/>
      <c r="C3" s="117"/>
      <c r="D3" s="117"/>
      <c r="E3" s="84"/>
      <c r="F3" s="84"/>
      <c r="G3" s="85"/>
    </row>
    <row r="4" spans="1:8" s="86" customFormat="1" ht="15" customHeight="1" x14ac:dyDescent="0.25">
      <c r="A4" s="117" t="str">
        <f>'Summary Load Customers '!A5</f>
        <v>Data as of January 31, 2014</v>
      </c>
      <c r="B4" s="117"/>
      <c r="C4" s="117"/>
      <c r="D4" s="117"/>
      <c r="E4" s="84"/>
      <c r="F4" s="84"/>
      <c r="G4" s="85"/>
    </row>
    <row r="5" spans="1:8" x14ac:dyDescent="0.2">
      <c r="C5" s="88"/>
      <c r="D5" s="88"/>
      <c r="E5" s="88"/>
      <c r="F5" s="88"/>
      <c r="G5" s="88"/>
    </row>
    <row r="6" spans="1:8" s="94" customFormat="1" ht="20.399999999999999" x14ac:dyDescent="0.2">
      <c r="A6" s="89" t="s">
        <v>64</v>
      </c>
      <c r="B6" s="90" t="s">
        <v>5</v>
      </c>
      <c r="C6" s="89" t="s">
        <v>6</v>
      </c>
      <c r="D6" s="89" t="s">
        <v>45</v>
      </c>
      <c r="E6" s="91"/>
      <c r="F6" s="91"/>
      <c r="G6" s="92"/>
      <c r="H6" s="93"/>
    </row>
    <row r="7" spans="1:8" x14ac:dyDescent="0.2">
      <c r="A7" s="95" t="s">
        <v>63</v>
      </c>
      <c r="B7" s="96"/>
      <c r="C7" s="97"/>
      <c r="D7" s="98">
        <f>IF(C7=0,0,C7)</f>
        <v>0</v>
      </c>
      <c r="E7" s="88"/>
      <c r="F7" s="88"/>
      <c r="G7" s="99"/>
      <c r="H7" s="88"/>
    </row>
    <row r="8" spans="1:8" x14ac:dyDescent="0.2">
      <c r="A8" s="95" t="s">
        <v>27</v>
      </c>
      <c r="B8" s="97">
        <v>195</v>
      </c>
      <c r="C8" s="97">
        <v>2</v>
      </c>
      <c r="D8" s="98">
        <f>SUM(B8:C8)</f>
        <v>197</v>
      </c>
      <c r="E8" s="100"/>
      <c r="F8" s="100"/>
      <c r="G8" s="99"/>
      <c r="H8" s="88"/>
    </row>
    <row r="9" spans="1:8" x14ac:dyDescent="0.2">
      <c r="A9" s="95" t="s">
        <v>28</v>
      </c>
      <c r="B9" s="97">
        <v>3849</v>
      </c>
      <c r="C9" s="97">
        <v>44</v>
      </c>
      <c r="D9" s="98">
        <f>SUM(B9:C9)</f>
        <v>3893</v>
      </c>
      <c r="E9" s="101"/>
      <c r="F9" s="102"/>
      <c r="G9" s="99"/>
      <c r="H9" s="88"/>
    </row>
    <row r="10" spans="1:8" x14ac:dyDescent="0.2">
      <c r="A10" s="103" t="s">
        <v>7</v>
      </c>
      <c r="B10" s="104">
        <f>IF(B8+B9=0,0,B8+B9)</f>
        <v>4044</v>
      </c>
      <c r="C10" s="104">
        <f>IF(SUM(C7:C9)=0,0,SUM(C7:C9))</f>
        <v>46</v>
      </c>
      <c r="D10" s="104">
        <f>IF(SUM(D7:D9)=0,0,SUM(D7:D9))</f>
        <v>4090</v>
      </c>
      <c r="E10" s="101"/>
      <c r="F10" s="102"/>
      <c r="G10" s="99"/>
      <c r="H10" s="88"/>
    </row>
    <row r="11" spans="1:8" x14ac:dyDescent="0.2">
      <c r="A11" s="88"/>
      <c r="B11" s="105"/>
      <c r="C11" s="105"/>
      <c r="D11" s="105"/>
      <c r="E11" s="101"/>
      <c r="F11" s="102"/>
      <c r="G11" s="106"/>
      <c r="H11" s="88"/>
    </row>
    <row r="12" spans="1:8" ht="20.399999999999999" x14ac:dyDescent="0.2">
      <c r="A12" s="89" t="s">
        <v>67</v>
      </c>
      <c r="B12" s="89" t="s">
        <v>5</v>
      </c>
      <c r="C12" s="89" t="str">
        <f>C6</f>
        <v>Business</v>
      </c>
      <c r="D12" s="89" t="s">
        <v>45</v>
      </c>
      <c r="E12" s="107"/>
      <c r="F12" s="108"/>
      <c r="G12" s="106"/>
      <c r="H12" s="88"/>
    </row>
    <row r="13" spans="1:8" x14ac:dyDescent="0.2">
      <c r="A13" s="95" t="s">
        <v>63</v>
      </c>
      <c r="B13" s="96"/>
      <c r="C13" s="97"/>
      <c r="D13" s="98">
        <f>IF(C13=0,0,C13)</f>
        <v>0</v>
      </c>
      <c r="E13" s="88"/>
      <c r="F13" s="88"/>
      <c r="G13" s="106"/>
      <c r="H13" s="88"/>
    </row>
    <row r="14" spans="1:8" x14ac:dyDescent="0.2">
      <c r="A14" s="95" t="s">
        <v>27</v>
      </c>
      <c r="B14" s="97">
        <v>3</v>
      </c>
      <c r="C14" s="97">
        <v>0</v>
      </c>
      <c r="D14" s="98">
        <f>SUM(B14:C14)</f>
        <v>3</v>
      </c>
      <c r="E14" s="100"/>
      <c r="F14" s="100"/>
      <c r="G14" s="99"/>
      <c r="H14" s="88"/>
    </row>
    <row r="15" spans="1:8" x14ac:dyDescent="0.2">
      <c r="A15" s="95" t="s">
        <v>28</v>
      </c>
      <c r="B15" s="97">
        <v>593</v>
      </c>
      <c r="C15" s="97">
        <v>1</v>
      </c>
      <c r="D15" s="98">
        <f>SUM(B15:C15)</f>
        <v>594</v>
      </c>
      <c r="E15" s="101"/>
      <c r="F15" s="102"/>
      <c r="G15" s="99"/>
      <c r="H15" s="88"/>
    </row>
    <row r="16" spans="1:8" x14ac:dyDescent="0.2">
      <c r="A16" s="103" t="str">
        <f>A10</f>
        <v>Total</v>
      </c>
      <c r="B16" s="104">
        <f>IF(B14+B15=0,0,B14+B15)</f>
        <v>596</v>
      </c>
      <c r="C16" s="104">
        <f>IF(SUM(C13:C15)=0,0,SUM(C13:C15))</f>
        <v>1</v>
      </c>
      <c r="D16" s="104">
        <f>IF(SUM(D13:D15)=0,0,SUM(D13:D15))</f>
        <v>597</v>
      </c>
      <c r="E16" s="101"/>
      <c r="F16" s="102"/>
      <c r="G16" s="99"/>
      <c r="H16" s="88"/>
    </row>
    <row r="17" spans="1:8" x14ac:dyDescent="0.2">
      <c r="A17" s="88"/>
      <c r="B17" s="88"/>
      <c r="C17" s="88"/>
      <c r="D17" s="88"/>
      <c r="E17" s="101"/>
      <c r="F17" s="102"/>
      <c r="G17" s="106"/>
      <c r="H17" s="88"/>
    </row>
    <row r="18" spans="1:8" ht="20.399999999999999" x14ac:dyDescent="0.2">
      <c r="A18" s="89" t="s">
        <v>68</v>
      </c>
      <c r="B18" s="89" t="s">
        <v>5</v>
      </c>
      <c r="C18" s="89" t="str">
        <f>C6</f>
        <v>Business</v>
      </c>
      <c r="D18" s="89" t="s">
        <v>45</v>
      </c>
      <c r="E18" s="107"/>
      <c r="F18" s="108"/>
      <c r="G18" s="106"/>
      <c r="H18" s="88"/>
    </row>
    <row r="19" spans="1:8" x14ac:dyDescent="0.2">
      <c r="A19" s="95" t="s">
        <v>63</v>
      </c>
      <c r="B19" s="96"/>
      <c r="C19" s="109">
        <f t="shared" ref="C19:D21" si="0">IF(C7+C13=0,0,C7+C13)</f>
        <v>0</v>
      </c>
      <c r="D19" s="98"/>
      <c r="E19" s="106"/>
      <c r="F19" s="106"/>
      <c r="G19" s="106"/>
      <c r="H19" s="88"/>
    </row>
    <row r="20" spans="1:8" x14ac:dyDescent="0.2">
      <c r="A20" s="95" t="s">
        <v>27</v>
      </c>
      <c r="B20" s="109">
        <f>IF(B8+B14=0,0,B8+B14)</f>
        <v>198</v>
      </c>
      <c r="C20" s="109">
        <f t="shared" si="0"/>
        <v>2</v>
      </c>
      <c r="D20" s="98">
        <f t="shared" si="0"/>
        <v>200</v>
      </c>
      <c r="E20" s="99"/>
      <c r="F20" s="106"/>
      <c r="G20" s="106"/>
      <c r="H20" s="88"/>
    </row>
    <row r="21" spans="1:8" x14ac:dyDescent="0.2">
      <c r="A21" s="95" t="s">
        <v>28</v>
      </c>
      <c r="B21" s="109">
        <f>IF(B9+B15=0,0,B9+B15)</f>
        <v>4442</v>
      </c>
      <c r="C21" s="109">
        <f t="shared" si="0"/>
        <v>45</v>
      </c>
      <c r="D21" s="98">
        <f t="shared" si="0"/>
        <v>4487</v>
      </c>
      <c r="E21" s="88"/>
      <c r="F21" s="106"/>
      <c r="G21" s="106"/>
      <c r="H21" s="88"/>
    </row>
    <row r="22" spans="1:8" x14ac:dyDescent="0.2">
      <c r="A22" s="103" t="str">
        <f>A10</f>
        <v>Total</v>
      </c>
      <c r="B22" s="104">
        <f>IF(B20+B21=0,0,B20+B21)</f>
        <v>4640</v>
      </c>
      <c r="C22" s="104">
        <f>IF(SUM(C19:C21)=0,0,SUM(C19:C21))</f>
        <v>47</v>
      </c>
      <c r="D22" s="104">
        <f>SUM(D19:D21)</f>
        <v>4687</v>
      </c>
      <c r="E22" s="88"/>
      <c r="F22" s="106"/>
      <c r="G22" s="106"/>
      <c r="H22" s="88"/>
    </row>
    <row r="23" spans="1:8" x14ac:dyDescent="0.2">
      <c r="B23" s="88"/>
      <c r="C23" s="88"/>
      <c r="E23" s="88"/>
      <c r="F23" s="106"/>
      <c r="G23" s="106"/>
      <c r="H23" s="88"/>
    </row>
    <row r="24" spans="1:8" ht="20.399999999999999" x14ac:dyDescent="0.2">
      <c r="A24" s="89" t="s">
        <v>65</v>
      </c>
      <c r="B24" s="89" t="s">
        <v>5</v>
      </c>
      <c r="C24" s="89">
        <f>C17</f>
        <v>0</v>
      </c>
      <c r="D24" s="89" t="s">
        <v>45</v>
      </c>
    </row>
    <row r="25" spans="1:8" x14ac:dyDescent="0.2">
      <c r="A25" s="95" t="s">
        <v>63</v>
      </c>
      <c r="B25" s="96"/>
      <c r="C25" s="109">
        <f>IF(C13+C19=0,0,C13+C19)</f>
        <v>0</v>
      </c>
      <c r="D25" s="98">
        <f>IF(C25=0,0,C25)</f>
        <v>0</v>
      </c>
    </row>
    <row r="26" spans="1:8" x14ac:dyDescent="0.2">
      <c r="A26" s="95" t="s">
        <v>27</v>
      </c>
      <c r="B26" s="97">
        <v>256</v>
      </c>
      <c r="C26" s="97">
        <v>11</v>
      </c>
      <c r="D26" s="98">
        <f>SUM(B26:C26)</f>
        <v>267</v>
      </c>
    </row>
    <row r="27" spans="1:8" x14ac:dyDescent="0.2">
      <c r="A27" s="95" t="s">
        <v>28</v>
      </c>
      <c r="B27" s="97">
        <v>705</v>
      </c>
      <c r="C27" s="97">
        <v>54</v>
      </c>
      <c r="D27" s="98">
        <f>SUM(B27:C27)</f>
        <v>759</v>
      </c>
    </row>
    <row r="28" spans="1:8" x14ac:dyDescent="0.2">
      <c r="A28" s="103" t="str">
        <f>A22</f>
        <v>Total</v>
      </c>
      <c r="B28" s="104">
        <f>IF(B26+B27=0,0,B26+B27)</f>
        <v>961</v>
      </c>
      <c r="C28" s="104">
        <f>IF(SUM(C25:C27)=0,0,SUM(C25:C27))</f>
        <v>65</v>
      </c>
      <c r="D28" s="104">
        <f>IF(SUM(D25:D27)=0,0,SUM(D25:D27))</f>
        <v>1026</v>
      </c>
    </row>
    <row r="30" spans="1:8" x14ac:dyDescent="0.2">
      <c r="A30" s="89" t="s">
        <v>66</v>
      </c>
      <c r="B30" s="89" t="s">
        <v>5</v>
      </c>
      <c r="C30" s="89" t="str">
        <f>C18</f>
        <v>Business</v>
      </c>
      <c r="D30" s="89" t="s">
        <v>45</v>
      </c>
    </row>
    <row r="31" spans="1:8" x14ac:dyDescent="0.2">
      <c r="A31" s="95" t="s">
        <v>63</v>
      </c>
      <c r="B31" s="96"/>
      <c r="C31" s="109">
        <f t="shared" ref="C31:D33" si="1">C19+C25</f>
        <v>0</v>
      </c>
      <c r="D31" s="98">
        <f t="shared" si="1"/>
        <v>0</v>
      </c>
    </row>
    <row r="32" spans="1:8" x14ac:dyDescent="0.2">
      <c r="A32" s="95" t="s">
        <v>27</v>
      </c>
      <c r="B32" s="109">
        <f>B20+B26</f>
        <v>454</v>
      </c>
      <c r="C32" s="109">
        <f t="shared" si="1"/>
        <v>13</v>
      </c>
      <c r="D32" s="98">
        <f t="shared" si="1"/>
        <v>467</v>
      </c>
      <c r="E32" s="88"/>
      <c r="F32" s="88"/>
      <c r="G32" s="88"/>
    </row>
    <row r="33" spans="1:4" x14ac:dyDescent="0.2">
      <c r="A33" s="95" t="s">
        <v>28</v>
      </c>
      <c r="B33" s="109">
        <f>B21+B27</f>
        <v>5147</v>
      </c>
      <c r="C33" s="109">
        <f t="shared" si="1"/>
        <v>99</v>
      </c>
      <c r="D33" s="98">
        <f t="shared" si="1"/>
        <v>5246</v>
      </c>
    </row>
    <row r="34" spans="1:4" x14ac:dyDescent="0.2">
      <c r="A34" s="103" t="str">
        <f>A28</f>
        <v>Total</v>
      </c>
      <c r="B34" s="104">
        <f>IF(B32+B33=0,0,B32+B33)</f>
        <v>5601</v>
      </c>
      <c r="C34" s="104">
        <f>IF(SUM(C31:C33)=0,0,SUM(C31:C33))</f>
        <v>112</v>
      </c>
      <c r="D34" s="104">
        <f>SUM(D31:D33)</f>
        <v>5713</v>
      </c>
    </row>
    <row r="36" spans="1:4" x14ac:dyDescent="0.2">
      <c r="A36" s="110" t="str">
        <f>"In summary, "&amp;TEXT($D$22,"0,000")&amp; " of UI's customers are participating in the CTCleanEnergyOptions Program"</f>
        <v>In summary, 4,687 of UI's customers are participating in the CTCleanEnergyOptions Program</v>
      </c>
    </row>
    <row r="37" spans="1:4" x14ac:dyDescent="0.2">
      <c r="A37" s="110" t="str">
        <f>"In summary, "&amp;TEXT($D$28,"0,000")&amp; " of UI's customers are participating in RECs only with Sterling Planet"</f>
        <v>In summary, 1,026 of UI's customers are participating in RECs only with Sterling Planet</v>
      </c>
    </row>
    <row r="38" spans="1:4" x14ac:dyDescent="0.2">
      <c r="A38" s="110" t="str">
        <f>"In summary, "&amp;TEXT($D$34,"0,000")&amp; " of UI's customers are participating in all REC programs"</f>
        <v>In summary, 5,713 of UI's customers are participating in all REC programs</v>
      </c>
    </row>
    <row r="40" spans="1:4" x14ac:dyDescent="0.2">
      <c r="A40" s="111" t="s">
        <v>33</v>
      </c>
    </row>
    <row r="41" spans="1:4" x14ac:dyDescent="0.2">
      <c r="A41" s="88" t="s">
        <v>29</v>
      </c>
    </row>
    <row r="43" spans="1:4" x14ac:dyDescent="0.2">
      <c r="A43" s="87" t="str">
        <f>'Summary Load Customers '!A34</f>
        <v>Dated 02/10/2014</v>
      </c>
    </row>
  </sheetData>
  <mergeCells count="4">
    <mergeCell ref="A1:D1"/>
    <mergeCell ref="A2:D2"/>
    <mergeCell ref="A4:D4"/>
    <mergeCell ref="A3:D3"/>
  </mergeCells>
  <phoneticPr fontId="10" type="noConversion"/>
  <printOptions horizontalCentered="1"/>
  <pageMargins left="0.75" right="0.5" top="1.75" bottom="0.5" header="0.5" footer="0"/>
  <pageSetup orientation="portrait" r:id="rId1"/>
  <headerFooter alignWithMargins="0">
    <oddHeader xml:space="preserve">&amp;RPage 4 of 4
</oddHeader>
  </headerFooter>
  <ignoredErrors>
    <ignoredError sqref="B21 C19 C25 C20:C21 C31 C32:C3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James Michaud</cp:lastModifiedBy>
  <cp:lastPrinted>2014-02-10T19:19:23Z</cp:lastPrinted>
  <dcterms:created xsi:type="dcterms:W3CDTF">2009-03-17T13:14:28Z</dcterms:created>
  <dcterms:modified xsi:type="dcterms:W3CDTF">2014-02-10T19:22:26Z</dcterms:modified>
</cp:coreProperties>
</file>