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1610" windowHeight="9330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REC_programs_detail!$A$1:$E$43</definedName>
    <definedName name="_xlnm.Print_Area" localSheetId="0">'Summary Load Customers '!$A$1:$I$34</definedName>
    <definedName name="_xlnm.Print_Area" localSheetId="2">'Summary REC Customers'!$A$1:$H$37</definedName>
  </definedNames>
  <calcPr calcId="145621"/>
</workbook>
</file>

<file path=xl/calcChain.xml><?xml version="1.0" encoding="utf-8"?>
<calcChain xmlns="http://schemas.openxmlformats.org/spreadsheetml/2006/main">
  <c r="D21" i="5" l="1"/>
  <c r="C21" i="5"/>
  <c r="B21" i="5"/>
  <c r="C20" i="5"/>
  <c r="B20" i="5"/>
  <c r="H11" i="7" l="1"/>
  <c r="E50" i="6"/>
  <c r="E51" i="6"/>
  <c r="E49" i="6"/>
  <c r="E27" i="6" l="1"/>
  <c r="E9" i="6" l="1"/>
  <c r="E10" i="6"/>
  <c r="E11" i="6"/>
  <c r="E12" i="6"/>
  <c r="E13" i="6"/>
  <c r="F13" i="6" s="1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F40" i="6" s="1"/>
  <c r="E41" i="6"/>
  <c r="E42" i="6"/>
  <c r="E43" i="6"/>
  <c r="E44" i="6"/>
  <c r="E45" i="6"/>
  <c r="F45" i="6" s="1"/>
  <c r="E46" i="6"/>
  <c r="E47" i="6"/>
  <c r="E48" i="6"/>
  <c r="E52" i="6"/>
  <c r="E53" i="6"/>
  <c r="E54" i="6"/>
  <c r="F54" i="6" s="1"/>
  <c r="E55" i="6"/>
  <c r="E56" i="6"/>
  <c r="E57" i="6"/>
  <c r="E8" i="6" l="1"/>
  <c r="B33" i="5"/>
  <c r="D58" i="6"/>
  <c r="C58" i="6"/>
  <c r="C33" i="5"/>
  <c r="B32" i="5"/>
  <c r="C32" i="5"/>
  <c r="A5" i="8"/>
  <c r="B28" i="5"/>
  <c r="B19" i="8" s="1"/>
  <c r="F25" i="8"/>
  <c r="F18" i="8"/>
  <c r="F11" i="8"/>
  <c r="A37" i="8"/>
  <c r="D7" i="5"/>
  <c r="D13" i="5"/>
  <c r="C19" i="5"/>
  <c r="C31" i="5" s="1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3" i="6"/>
  <c r="H10" i="7"/>
  <c r="A1" i="6"/>
  <c r="A1" i="5"/>
  <c r="C16" i="5"/>
  <c r="C10" i="5"/>
  <c r="B10" i="5"/>
  <c r="B16" i="5"/>
  <c r="A4" i="6"/>
  <c r="A4" i="5"/>
  <c r="A21" i="7"/>
  <c r="A20" i="7"/>
  <c r="D9" i="7"/>
  <c r="F9" i="7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C28" i="5"/>
  <c r="D19" i="8" s="1"/>
  <c r="D20" i="5" l="1"/>
  <c r="F19" i="8"/>
  <c r="E19" i="7"/>
  <c r="C11" i="7"/>
  <c r="G19" i="7"/>
  <c r="D28" i="5"/>
  <c r="A37" i="5" s="1"/>
  <c r="D33" i="5"/>
  <c r="G10" i="7"/>
  <c r="H12" i="7"/>
  <c r="I10" i="7" s="1"/>
  <c r="A13" i="7" s="1"/>
  <c r="E19" i="8"/>
  <c r="H21" i="7"/>
  <c r="I20" i="7" s="1"/>
  <c r="A24" i="7" s="1"/>
  <c r="C20" i="7"/>
  <c r="D16" i="5"/>
  <c r="C34" i="5"/>
  <c r="D10" i="5"/>
  <c r="B22" i="5"/>
  <c r="B12" i="8" s="1"/>
  <c r="C12" i="8" s="1"/>
  <c r="B34" i="5"/>
  <c r="C19" i="8"/>
  <c r="D31" i="5"/>
  <c r="E58" i="6"/>
  <c r="E10" i="7"/>
  <c r="C22" i="5"/>
  <c r="D12" i="8" s="1"/>
  <c r="D32" i="5"/>
  <c r="F43" i="6" l="1"/>
  <c r="F32" i="6"/>
  <c r="F49" i="6"/>
  <c r="F27" i="6"/>
  <c r="F10" i="6"/>
  <c r="F12" i="6"/>
  <c r="F14" i="6"/>
  <c r="F16" i="6"/>
  <c r="F18" i="6"/>
  <c r="F20" i="6"/>
  <c r="F22" i="6"/>
  <c r="F24" i="6"/>
  <c r="F26" i="6"/>
  <c r="F29" i="6"/>
  <c r="F31" i="6"/>
  <c r="F33" i="6"/>
  <c r="F35" i="6"/>
  <c r="F37" i="6"/>
  <c r="F39" i="6"/>
  <c r="F41" i="6"/>
  <c r="F47" i="6"/>
  <c r="F50" i="6"/>
  <c r="F52" i="6"/>
  <c r="F56" i="6"/>
  <c r="F51" i="6"/>
  <c r="F57" i="6"/>
  <c r="F9" i="6"/>
  <c r="F11" i="6"/>
  <c r="F15" i="6"/>
  <c r="F17" i="6"/>
  <c r="F19" i="6"/>
  <c r="F21" i="6"/>
  <c r="F23" i="6"/>
  <c r="F25" i="6"/>
  <c r="F28" i="6"/>
  <c r="F30" i="6"/>
  <c r="F34" i="6"/>
  <c r="F36" i="6"/>
  <c r="F38" i="6"/>
  <c r="F42" i="6"/>
  <c r="F44" i="6"/>
  <c r="F46" i="6"/>
  <c r="F48" i="6"/>
  <c r="F53" i="6"/>
  <c r="F55" i="6"/>
  <c r="F12" i="8"/>
  <c r="G12" i="8" s="1"/>
  <c r="A14" i="8" s="1"/>
  <c r="B26" i="8"/>
  <c r="C26" i="8" s="1"/>
  <c r="I11" i="7"/>
  <c r="A14" i="7" s="1"/>
  <c r="I19" i="7"/>
  <c r="A23" i="7" s="1"/>
  <c r="D34" i="5"/>
  <c r="A38" i="5" s="1"/>
  <c r="F8" i="6"/>
  <c r="F58" i="6"/>
  <c r="D22" i="5"/>
  <c r="A36" i="5" s="1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<sst xmlns="http://schemas.openxmlformats.org/spreadsheetml/2006/main" count="168" uniqueCount="107">
  <si>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</si>
  <si>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</si>
  <si>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</si>
  <si>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</si>
  <si>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</si>
  <si>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</si>
  <si>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</si>
  <si>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</si>
  <si>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</si>
  <si>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</si>
  <si>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</si>
  <si>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</si>
  <si>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</si>
  <si>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</si>
  <si>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</si>
  <si>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</si>
  <si>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</si>
  <si>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</si>
  <si>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</si>
  <si>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</si>
  <si>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</si>
  <si>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</si>
  <si>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</si>
  <si>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</si>
  <si>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</si>
  <si>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</si>
  <si>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</si>
  <si>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</si>
  <si>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</si>
  <si>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</si>
  <si>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</si>
  <si>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</si>
  <si>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</si>
  <si>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</si>
  <si>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</si>
  <si>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</si>
  <si>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</si>
  <si>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</si>
  <si>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</si>
  <si>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</si>
  <si>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</si>
  <si>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</si>
  <si>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</si>
  <si>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</si>
  <si>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</si>
  <si>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</si>
  <si>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</si>
  <si>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</si>
  <si>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</si>
  <si>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</si>
  <si>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</si>
  <si>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</si>
  <si>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</si>
  <si>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</si>
  <si>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</si>
  <si>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</si>
  <si>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</si>
  <si>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</si>
  <si>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</si>
  <si>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</si>
  <si>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</si>
  <si>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</si>
  <si>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</si>
  <si>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</si>
  <si>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</si>
  <si>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</si>
  <si>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</si>
  <si>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</si>
  <si>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</si>
  <si>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</si>
  <si>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</si>
  <si>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</si>
  <si>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</si>
  <si>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</si>
  <si>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</si>
  <si>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</si>
  <si>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</si>
  <si>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</si>
  <si>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</si>
  <si>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</si>
  <si>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</si>
  <si>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</si>
  <si>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</si>
  <si>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</si>
  <si>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</si>
  <si>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</si>
  <si>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</si>
  <si>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</si>
  <si>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</si>
  <si>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</si>
  <si>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</si>
  <si>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</si>
  <si>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</si>
  <si>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</si>
  <si>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</si>
  <si>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</si>
  <si>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</si>
  <si>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</si>
  <si>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</si>
  <si>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</si>
  <si>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</si>
  <si>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</si>
  <si>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</si>
  <si>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</si>
  <si>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</si>
  <si>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Data as of June 30, 2014</t>
  </si>
  <si>
    <t>Dated 07/17/2014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</si>
</sst>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showZeros="0" tabSelected="1" zoomScaleNormal="100" workbookViewId="0">
      <selection activeCell="B33" sqref="B33"/>
    </sheetView>
  </sheetViews>
  <sheetFormatPr defaultColWidth="9.140625" defaultRowHeight="12.75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9" s="10" customFormat="1" ht="18" customHeight="1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>
      <c r="A2" s="27" t="s">
        <v>57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>
      <c r="A3" s="27" t="s">
        <v>39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>
      <c r="A5" s="26" t="s">
        <v>105</v>
      </c>
      <c r="B5" s="30"/>
      <c r="C5" s="30"/>
      <c r="D5" s="77"/>
      <c r="E5" s="77"/>
      <c r="F5" s="77"/>
      <c r="G5" s="30"/>
      <c r="H5" s="30"/>
      <c r="I5" s="30"/>
    </row>
    <row r="7" spans="1:9" ht="18" customHeight="1">
      <c r="A7" s="33" t="s">
        <v>42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>
      <c r="A8" s="3"/>
      <c r="B8" s="36" t="s">
        <v>43</v>
      </c>
      <c r="C8" s="37"/>
      <c r="D8" s="36" t="s">
        <v>8</v>
      </c>
      <c r="E8" s="38"/>
      <c r="F8" s="36" t="s">
        <v>9</v>
      </c>
      <c r="G8" s="39"/>
      <c r="H8" s="36" t="s">
        <v>45</v>
      </c>
      <c r="I8" s="38"/>
    </row>
    <row r="9" spans="1:9" ht="18" customHeight="1">
      <c r="A9" s="41"/>
      <c r="B9" s="42" t="s">
        <v>11</v>
      </c>
      <c r="C9" s="43" t="s">
        <v>32</v>
      </c>
      <c r="D9" s="42" t="str">
        <f>B9</f>
        <v>MWh</v>
      </c>
      <c r="E9" s="43" t="s">
        <v>32</v>
      </c>
      <c r="F9" s="42" t="str">
        <f>D9</f>
        <v>MWh</v>
      </c>
      <c r="G9" s="43" t="s">
        <v>32</v>
      </c>
      <c r="H9" s="42" t="str">
        <f>F9</f>
        <v>MWh</v>
      </c>
      <c r="I9" s="43" t="s">
        <v>31</v>
      </c>
    </row>
    <row r="10" spans="1:9" ht="18" customHeight="1">
      <c r="A10" s="44" t="s">
        <v>13</v>
      </c>
      <c r="B10" s="75">
        <v>78027.659000000131</v>
      </c>
      <c r="C10" s="45">
        <f>IF(B10=0,0,B10/$B$12)</f>
        <v>0.45814959973269559</v>
      </c>
      <c r="D10" s="75">
        <v>122014.73185400046</v>
      </c>
      <c r="E10" s="45">
        <f>IF(D10=0,0,D10/$D$12)</f>
        <v>0.70164909294736566</v>
      </c>
      <c r="F10" s="75">
        <v>107895.5271460002</v>
      </c>
      <c r="G10" s="45">
        <f>IF(F10=0,0,F10/$F$12)</f>
        <v>0.96076975296034095</v>
      </c>
      <c r="H10" s="46">
        <f>IF(B10+D10+F10=0,0,B10+D10+F10)</f>
        <v>307937.91800000076</v>
      </c>
      <c r="I10" s="45">
        <f>IF(H10=0,0,H10/$H$12)</f>
        <v>0.67455001635883627</v>
      </c>
    </row>
    <row r="11" spans="1:9" ht="18" customHeight="1">
      <c r="A11" s="44" t="s">
        <v>15</v>
      </c>
      <c r="B11" s="76">
        <v>92282.77900000001</v>
      </c>
      <c r="C11" s="45">
        <f>IF(B11=0,0,B11/$B$12)</f>
        <v>0.54185040026730447</v>
      </c>
      <c r="D11" s="76">
        <v>51882.352999999937</v>
      </c>
      <c r="E11" s="45">
        <f>IF(D11=0,0,D11/$D$12)</f>
        <v>0.29835090705263434</v>
      </c>
      <c r="F11" s="76">
        <v>4405.6010000000006</v>
      </c>
      <c r="G11" s="45">
        <f>IF(F11=0,0,F11/$F$12)</f>
        <v>3.9230247039659091E-2</v>
      </c>
      <c r="H11" s="118">
        <f>IF(B11+D11+F11=0,0,B11+D11+F11)</f>
        <v>148570.73299999995</v>
      </c>
      <c r="I11" s="45">
        <f>IF(H11=0,0,H11/$H$12)</f>
        <v>0.32544998364116373</v>
      </c>
    </row>
    <row r="12" spans="1:9" ht="18" customHeight="1">
      <c r="A12" s="44" t="s">
        <v>16</v>
      </c>
      <c r="B12" s="47">
        <f>SUM(B10:B11)</f>
        <v>170310.43800000014</v>
      </c>
      <c r="C12" s="48"/>
      <c r="D12" s="47">
        <f>SUM(D10:D11)</f>
        <v>173897.08485400039</v>
      </c>
      <c r="E12" s="48"/>
      <c r="F12" s="47">
        <f>SUM(F10:F11)</f>
        <v>112301.12814600019</v>
      </c>
      <c r="G12" s="48"/>
      <c r="H12" s="47">
        <f>IF(H10+H11=0,0,H10+H11)</f>
        <v>456508.65100000071</v>
      </c>
      <c r="I12" s="49"/>
    </row>
    <row r="13" spans="1:9" ht="18" customHeight="1">
      <c r="A13" s="112" t="str">
        <f>"As the above table shows, "&amp;TEXT(H10,"0,000")&amp; " MWh, or "&amp;TEXT(I10,"0.0%")&amp;" of UI's total load is served by electric suppliers"</f>
        <v>As the above table shows, 307,938 MWh, or 67.5% of UI's total load is served by electric suppliers</v>
      </c>
      <c r="H13" s="32"/>
    </row>
    <row r="14" spans="1:9" ht="18" customHeight="1">
      <c r="A14" s="112" t="str">
        <f>"while "&amp;TEXT(H11,"0,000")&amp;" MHh, or "&amp;TEXT(I11,"0.0%")&amp;" of the load is provided under Standard Service or Last Resort service through UI."</f>
        <v>while 148,571 MHh, or 32.5%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5">
      <c r="G15" s="54"/>
      <c r="H15" s="32"/>
    </row>
    <row r="16" spans="1:9" ht="18" customHeight="1">
      <c r="A16" s="33" t="s">
        <v>41</v>
      </c>
      <c r="B16" s="34"/>
      <c r="C16" s="34"/>
      <c r="D16" s="34"/>
      <c r="E16" s="34"/>
      <c r="F16" s="34"/>
      <c r="G16" s="55"/>
      <c r="H16" s="29"/>
      <c r="I16" s="30"/>
    </row>
    <row r="17" spans="1:15" ht="18" customHeight="1">
      <c r="A17" s="44"/>
      <c r="B17" s="36" t="s">
        <v>43</v>
      </c>
      <c r="C17" s="56"/>
      <c r="D17" s="36" t="s">
        <v>8</v>
      </c>
      <c r="E17" s="57"/>
      <c r="F17" s="36" t="s">
        <v>9</v>
      </c>
      <c r="G17" s="39"/>
      <c r="H17" s="36" t="s">
        <v>45</v>
      </c>
      <c r="I17" s="38"/>
      <c r="O17" s="114"/>
    </row>
    <row r="18" spans="1:15" ht="18" customHeight="1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D18</f>
        <v>Customers</v>
      </c>
      <c r="G18" s="43" t="s">
        <v>32</v>
      </c>
      <c r="H18" s="42" t="str">
        <f>F18</f>
        <v>Customers</v>
      </c>
      <c r="I18" s="43" t="s">
        <v>31</v>
      </c>
    </row>
    <row r="19" spans="1:15" ht="18" customHeight="1">
      <c r="A19" s="44" t="str">
        <f>A10</f>
        <v>Suppliers</v>
      </c>
      <c r="B19" s="75">
        <v>123617</v>
      </c>
      <c r="C19" s="45">
        <f>IF(B19=0,0,B19/$B$21)</f>
        <v>0.41819012178619758</v>
      </c>
      <c r="D19" s="75">
        <v>19676</v>
      </c>
      <c r="E19" s="58">
        <f>IF(D19=0,0,D19/$D$21)</f>
        <v>0.50763673890608874</v>
      </c>
      <c r="F19" s="75">
        <v>252</v>
      </c>
      <c r="G19" s="45">
        <f>IF(F19=0,0,F19/$F$21)</f>
        <v>0.92307692307692313</v>
      </c>
      <c r="H19" s="46">
        <f>IF(B19+D19+F19=0,0,B19+D19+F19)</f>
        <v>143545</v>
      </c>
      <c r="I19" s="45">
        <f>IF(H19=0,0,H19/$H$21)</f>
        <v>0.42896247530877107</v>
      </c>
      <c r="J19" s="59"/>
    </row>
    <row r="20" spans="1:15" ht="18" customHeight="1">
      <c r="A20" s="44" t="str">
        <f>A11</f>
        <v>UI</v>
      </c>
      <c r="B20" s="76">
        <v>171983</v>
      </c>
      <c r="C20" s="45">
        <f>IF(B20=0,0,B20/$B$21)</f>
        <v>0.58180987821380248</v>
      </c>
      <c r="D20" s="76">
        <v>19084</v>
      </c>
      <c r="E20" s="58">
        <f>IF(D20=0,0,D20/$D$21)</f>
        <v>0.49236326109391126</v>
      </c>
      <c r="F20" s="76">
        <v>21</v>
      </c>
      <c r="G20" s="45">
        <f>IF(F20=0,0,F20/$F$21)</f>
        <v>7.6923076923076927E-2</v>
      </c>
      <c r="H20" s="76">
        <f>IF(B20+D20+F20=0,0,B20+D20+F20)</f>
        <v>191088</v>
      </c>
      <c r="I20" s="45">
        <f>IF(H20=0,0,H20/$H$21)</f>
        <v>0.57103752469122893</v>
      </c>
    </row>
    <row r="21" spans="1:15" ht="18" customHeight="1">
      <c r="A21" s="44" t="str">
        <f>A12</f>
        <v xml:space="preserve">     Total</v>
      </c>
      <c r="B21" s="47">
        <f>SUM(B19:B20)</f>
        <v>295600</v>
      </c>
      <c r="C21" s="60"/>
      <c r="D21" s="47">
        <f>SUM(D19:D20)</f>
        <v>38760</v>
      </c>
      <c r="E21" s="48"/>
      <c r="F21" s="47">
        <f>SUM(F19:F20)</f>
        <v>273</v>
      </c>
      <c r="G21" s="48"/>
      <c r="H21" s="47">
        <f>IF(H19+H20=0,0,H19+H20)</f>
        <v>334633</v>
      </c>
      <c r="I21" s="49"/>
    </row>
    <row r="22" spans="1:15" ht="18" customHeight="1">
      <c r="G22" s="54"/>
      <c r="H22" s="32"/>
    </row>
    <row r="23" spans="1:15" ht="18" customHeight="1">
      <c r="A23" s="112" t="str">
        <f>"As the above table shows, "&amp;TEXT(H19,"0,000")&amp; " of UI's total customers, or "&amp;TEXT(I19,"0.0%")&amp;" are served by electric suppliers"</f>
        <v>As the above table shows, 143,545 of UI's total customers, or 42.9% are served by electric suppliers</v>
      </c>
      <c r="G23" s="54"/>
      <c r="H23" s="32"/>
    </row>
    <row r="24" spans="1:15" ht="18" customHeight="1">
      <c r="A24" s="112" t="str">
        <f>"while "&amp;TEXT(H20,"0,000")&amp;" or "&amp;TEXT(I20,"0.0%")&amp;" of the customers continue to receive Standard Service or Last Resort service through UI."</f>
        <v>while 191,088 or 57.1%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5" ht="18" customHeight="1">
      <c r="B25" s="32"/>
      <c r="C25" s="32"/>
      <c r="D25" s="63"/>
      <c r="E25" s="63"/>
      <c r="F25" s="64"/>
      <c r="G25" s="64"/>
      <c r="H25" s="32"/>
    </row>
    <row r="27" spans="1:15" ht="13.5">
      <c r="A27" s="71" t="s">
        <v>40</v>
      </c>
    </row>
    <row r="28" spans="1:15" ht="13.5">
      <c r="A28" s="71" t="s">
        <v>44</v>
      </c>
    </row>
    <row r="29" spans="1:15" ht="13.5">
      <c r="A29" s="71" t="s">
        <v>79</v>
      </c>
    </row>
    <row r="30" spans="1:15">
      <c r="A30" s="72" t="s">
        <v>30</v>
      </c>
    </row>
    <row r="31" spans="1:15">
      <c r="A31" s="72" t="s">
        <v>36</v>
      </c>
    </row>
    <row r="34" spans="1:1">
      <c r="A34" s="114" t="s">
        <v>106</v>
      </c>
    </row>
    <row r="35" spans="1:1">
      <c r="A35" s="117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showZeros="0" topLeftCell="A31" zoomScaleNormal="100" workbookViewId="0">
      <selection activeCell="J43" sqref="J43"/>
    </sheetView>
  </sheetViews>
  <sheetFormatPr defaultColWidth="9.140625" defaultRowHeight="12.75"/>
  <cols>
    <col min="1" max="1" width="4.42578125" style="1" customWidth="1"/>
    <col min="2" max="2" width="40.28515625" style="1" bestFit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>
      <c r="A4" s="11" t="str">
        <f>'Summary Load Customers '!A5</f>
        <v>Data as of June 30, 2014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>
      <c r="A5" s="18"/>
      <c r="B5" s="7"/>
      <c r="C5" s="19"/>
      <c r="D5" s="19"/>
      <c r="E5" s="13"/>
      <c r="F5" s="13"/>
    </row>
    <row r="6" spans="1:11" s="10" customFormat="1" ht="18" customHeight="1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5.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37</v>
      </c>
    </row>
    <row r="8" spans="1:11" ht="14.25" customHeight="1">
      <c r="A8" s="23">
        <v>1</v>
      </c>
      <c r="B8" s="24" t="s">
        <v>90</v>
      </c>
      <c r="C8" s="78">
        <v>1066</v>
      </c>
      <c r="D8" s="78">
        <v>318</v>
      </c>
      <c r="E8" s="23">
        <f t="shared" ref="E8:E57" si="0">IF(SUM(C8:D8)=0,0,SUM(C8:D8))</f>
        <v>1384</v>
      </c>
      <c r="F8" s="25">
        <f t="shared" ref="F8:F39" si="1">IF(E8=0,"",E8/$E$58)</f>
        <v>9.6415758124629904E-3</v>
      </c>
    </row>
    <row r="9" spans="1:11" ht="14.25" customHeight="1">
      <c r="A9" s="23">
        <v>2</v>
      </c>
      <c r="B9" s="24" t="s">
        <v>89</v>
      </c>
      <c r="C9" s="78">
        <v>1103</v>
      </c>
      <c r="D9" s="78">
        <v>724</v>
      </c>
      <c r="E9" s="23">
        <f t="shared" si="0"/>
        <v>1827</v>
      </c>
      <c r="F9" s="25">
        <f t="shared" si="1"/>
        <v>1.2727716047232576E-2</v>
      </c>
    </row>
    <row r="10" spans="1:11" ht="14.25" customHeight="1">
      <c r="A10" s="23">
        <v>3</v>
      </c>
      <c r="B10" s="24" t="s">
        <v>83</v>
      </c>
      <c r="C10" s="78">
        <v>6010</v>
      </c>
      <c r="D10" s="78">
        <v>600</v>
      </c>
      <c r="E10" s="23">
        <f t="shared" si="0"/>
        <v>6610</v>
      </c>
      <c r="F10" s="25">
        <f t="shared" si="1"/>
        <v>4.6048277543627433E-2</v>
      </c>
    </row>
    <row r="11" spans="1:11" ht="14.25" customHeight="1">
      <c r="A11" s="23">
        <v>4</v>
      </c>
      <c r="B11" s="115" t="s">
        <v>95</v>
      </c>
      <c r="C11" s="78">
        <v>2</v>
      </c>
      <c r="D11" s="78">
        <v>2</v>
      </c>
      <c r="E11" s="23">
        <f t="shared" si="0"/>
        <v>4</v>
      </c>
      <c r="F11" s="25">
        <f t="shared" si="1"/>
        <v>2.7865826047580898E-5</v>
      </c>
    </row>
    <row r="12" spans="1:11" ht="14.25" customHeight="1">
      <c r="A12" s="23">
        <v>5</v>
      </c>
      <c r="B12" s="24" t="s">
        <v>54</v>
      </c>
      <c r="C12" s="78">
        <v>2577</v>
      </c>
      <c r="D12" s="78">
        <v>120</v>
      </c>
      <c r="E12" s="23">
        <f t="shared" si="0"/>
        <v>2697</v>
      </c>
      <c r="F12" s="25">
        <f t="shared" si="1"/>
        <v>1.8788533212581421E-2</v>
      </c>
    </row>
    <row r="13" spans="1:11" ht="14.25" customHeight="1">
      <c r="A13" s="23">
        <v>6</v>
      </c>
      <c r="B13" s="24" t="s">
        <v>53</v>
      </c>
      <c r="C13" s="78"/>
      <c r="D13" s="78"/>
      <c r="E13" s="23">
        <f t="shared" si="0"/>
        <v>0</v>
      </c>
      <c r="F13" s="25" t="str">
        <f t="shared" si="1"/>
        <v/>
      </c>
    </row>
    <row r="14" spans="1:11" ht="14.25" customHeight="1">
      <c r="A14" s="23">
        <v>7</v>
      </c>
      <c r="B14" s="24" t="s">
        <v>10</v>
      </c>
      <c r="C14" s="78">
        <v>1791</v>
      </c>
      <c r="D14" s="78">
        <v>21</v>
      </c>
      <c r="E14" s="23">
        <f t="shared" si="0"/>
        <v>1812</v>
      </c>
      <c r="F14" s="25">
        <f t="shared" si="1"/>
        <v>1.2623219199554147E-2</v>
      </c>
    </row>
    <row r="15" spans="1:11" ht="14.25" customHeight="1">
      <c r="A15" s="23">
        <v>9</v>
      </c>
      <c r="B15" s="24" t="s">
        <v>12</v>
      </c>
      <c r="C15" s="78">
        <v>6632</v>
      </c>
      <c r="D15" s="78">
        <v>1040</v>
      </c>
      <c r="E15" s="23">
        <f t="shared" si="0"/>
        <v>7672</v>
      </c>
      <c r="F15" s="25">
        <f t="shared" si="1"/>
        <v>5.344665435926016E-2</v>
      </c>
    </row>
    <row r="16" spans="1:11" ht="14.25" customHeight="1">
      <c r="A16" s="23">
        <v>8</v>
      </c>
      <c r="B16" s="115" t="s">
        <v>85</v>
      </c>
      <c r="C16" s="78">
        <v>6317</v>
      </c>
      <c r="D16" s="78">
        <v>204</v>
      </c>
      <c r="E16" s="23">
        <f t="shared" si="0"/>
        <v>6521</v>
      </c>
      <c r="F16" s="25">
        <f t="shared" si="1"/>
        <v>4.5428262914068762E-2</v>
      </c>
    </row>
    <row r="17" spans="1:6" ht="14.25" customHeight="1">
      <c r="A17" s="23">
        <v>10</v>
      </c>
      <c r="B17" s="24" t="s">
        <v>14</v>
      </c>
      <c r="C17" s="78">
        <v>280</v>
      </c>
      <c r="D17" s="78">
        <v>1227</v>
      </c>
      <c r="E17" s="23">
        <f t="shared" si="0"/>
        <v>1507</v>
      </c>
      <c r="F17" s="25">
        <f t="shared" si="1"/>
        <v>1.0498449963426103E-2</v>
      </c>
    </row>
    <row r="18" spans="1:6" ht="14.25" customHeight="1">
      <c r="A18" s="23">
        <v>11</v>
      </c>
      <c r="B18" s="24" t="s">
        <v>82</v>
      </c>
      <c r="C18" s="78">
        <v>526</v>
      </c>
      <c r="D18" s="78">
        <v>205</v>
      </c>
      <c r="E18" s="23">
        <f t="shared" si="0"/>
        <v>731</v>
      </c>
      <c r="F18" s="25">
        <f t="shared" si="1"/>
        <v>5.092479710195409E-3</v>
      </c>
    </row>
    <row r="19" spans="1:6" ht="14.25" customHeight="1">
      <c r="A19" s="23">
        <v>12</v>
      </c>
      <c r="B19" s="115" t="s">
        <v>99</v>
      </c>
      <c r="C19" s="78">
        <v>31</v>
      </c>
      <c r="D19" s="78">
        <v>1223</v>
      </c>
      <c r="E19" s="23">
        <f t="shared" si="0"/>
        <v>1254</v>
      </c>
      <c r="F19" s="25">
        <f t="shared" si="1"/>
        <v>8.7359364659166123E-3</v>
      </c>
    </row>
    <row r="20" spans="1:6" ht="14.25" customHeight="1">
      <c r="A20" s="23">
        <v>13</v>
      </c>
      <c r="B20" s="115" t="s">
        <v>100</v>
      </c>
      <c r="C20" s="78">
        <v>22532</v>
      </c>
      <c r="D20" s="78">
        <v>3306</v>
      </c>
      <c r="E20" s="23">
        <f t="shared" si="0"/>
        <v>25838</v>
      </c>
      <c r="F20" s="25">
        <f t="shared" si="1"/>
        <v>0.1799993033543488</v>
      </c>
    </row>
    <row r="21" spans="1:6" ht="14.25" customHeight="1">
      <c r="A21" s="23">
        <v>14</v>
      </c>
      <c r="B21" s="79" t="s">
        <v>50</v>
      </c>
      <c r="C21" s="78">
        <v>4953</v>
      </c>
      <c r="D21" s="78">
        <v>565</v>
      </c>
      <c r="E21" s="23">
        <f t="shared" si="0"/>
        <v>5518</v>
      </c>
      <c r="F21" s="25">
        <f t="shared" si="1"/>
        <v>3.8440907032637847E-2</v>
      </c>
    </row>
    <row r="22" spans="1:6" ht="14.25" customHeight="1">
      <c r="A22" s="23">
        <v>15</v>
      </c>
      <c r="B22" s="115" t="s">
        <v>92</v>
      </c>
      <c r="C22" s="78">
        <v>7877</v>
      </c>
      <c r="D22" s="78">
        <v>777</v>
      </c>
      <c r="E22" s="23">
        <f t="shared" si="0"/>
        <v>8654</v>
      </c>
      <c r="F22" s="25">
        <f t="shared" si="1"/>
        <v>6.0287714653941275E-2</v>
      </c>
    </row>
    <row r="23" spans="1:6" ht="14.25" customHeight="1">
      <c r="A23" s="23">
        <v>16</v>
      </c>
      <c r="B23" s="79" t="s">
        <v>46</v>
      </c>
      <c r="C23" s="78">
        <v>4197</v>
      </c>
      <c r="D23" s="78">
        <v>495</v>
      </c>
      <c r="E23" s="23">
        <f t="shared" si="0"/>
        <v>4692</v>
      </c>
      <c r="F23" s="25">
        <f t="shared" si="1"/>
        <v>3.2686613953812393E-2</v>
      </c>
    </row>
    <row r="24" spans="1:6" ht="14.25" customHeight="1">
      <c r="A24" s="23">
        <v>17</v>
      </c>
      <c r="B24" s="24" t="s">
        <v>17</v>
      </c>
      <c r="C24" s="78">
        <v>471</v>
      </c>
      <c r="D24" s="78">
        <v>53</v>
      </c>
      <c r="E24" s="23">
        <f t="shared" si="0"/>
        <v>524</v>
      </c>
      <c r="F24" s="25">
        <f t="shared" si="1"/>
        <v>3.6504232122330977E-3</v>
      </c>
    </row>
    <row r="25" spans="1:6" ht="14.25" customHeight="1">
      <c r="A25" s="23">
        <v>18</v>
      </c>
      <c r="B25" s="24" t="s">
        <v>61</v>
      </c>
      <c r="C25" s="78">
        <v>1529</v>
      </c>
      <c r="D25" s="78">
        <v>210</v>
      </c>
      <c r="E25" s="23">
        <f t="shared" si="0"/>
        <v>1739</v>
      </c>
      <c r="F25" s="25">
        <f t="shared" si="1"/>
        <v>1.2114667874185796E-2</v>
      </c>
    </row>
    <row r="26" spans="1:6" ht="14.25" customHeight="1">
      <c r="A26" s="23">
        <v>19</v>
      </c>
      <c r="B26" s="24" t="s">
        <v>18</v>
      </c>
      <c r="C26" s="78"/>
      <c r="D26" s="78"/>
      <c r="E26" s="23">
        <f t="shared" si="0"/>
        <v>0</v>
      </c>
      <c r="F26" s="25" t="str">
        <f t="shared" si="1"/>
        <v/>
      </c>
    </row>
    <row r="27" spans="1:6" ht="14.25" customHeight="1">
      <c r="A27" s="23">
        <v>20</v>
      </c>
      <c r="B27" s="115" t="s">
        <v>103</v>
      </c>
      <c r="C27" s="78">
        <v>34</v>
      </c>
      <c r="D27" s="78">
        <v>134</v>
      </c>
      <c r="E27" s="23">
        <f t="shared" ref="E27" si="2">IF(SUM(C27:D27)=0,0,SUM(C27:D27))</f>
        <v>168</v>
      </c>
      <c r="F27" s="25">
        <f t="shared" si="1"/>
        <v>1.1703646939983977E-3</v>
      </c>
    </row>
    <row r="28" spans="1:6" ht="14.25" customHeight="1">
      <c r="A28" s="23">
        <v>21</v>
      </c>
      <c r="B28" s="24" t="s">
        <v>91</v>
      </c>
      <c r="C28" s="78">
        <v>1834</v>
      </c>
      <c r="D28" s="78">
        <v>8</v>
      </c>
      <c r="E28" s="23">
        <f t="shared" si="0"/>
        <v>1842</v>
      </c>
      <c r="F28" s="25">
        <f t="shared" si="1"/>
        <v>1.2832212894911004E-2</v>
      </c>
    </row>
    <row r="29" spans="1:6" ht="14.25" customHeight="1">
      <c r="A29" s="23">
        <v>22</v>
      </c>
      <c r="B29" s="24" t="s">
        <v>60</v>
      </c>
      <c r="C29" s="78">
        <v>733</v>
      </c>
      <c r="D29" s="78">
        <v>33</v>
      </c>
      <c r="E29" s="23">
        <f t="shared" si="0"/>
        <v>766</v>
      </c>
      <c r="F29" s="25">
        <f t="shared" si="1"/>
        <v>5.3363056881117416E-3</v>
      </c>
    </row>
    <row r="30" spans="1:6" ht="14.25" customHeight="1">
      <c r="A30" s="23">
        <v>23</v>
      </c>
      <c r="B30" s="24" t="s">
        <v>77</v>
      </c>
      <c r="C30" s="78">
        <v>37</v>
      </c>
      <c r="D30" s="78">
        <v>1</v>
      </c>
      <c r="E30" s="23">
        <f t="shared" si="0"/>
        <v>38</v>
      </c>
      <c r="F30" s="25">
        <f t="shared" si="1"/>
        <v>2.6472534745201854E-4</v>
      </c>
    </row>
    <row r="31" spans="1:6" ht="14.25" customHeight="1">
      <c r="A31" s="23">
        <v>24</v>
      </c>
      <c r="B31" s="115" t="s">
        <v>19</v>
      </c>
      <c r="C31" s="78">
        <v>226</v>
      </c>
      <c r="D31" s="78">
        <v>1001</v>
      </c>
      <c r="E31" s="23">
        <f t="shared" si="0"/>
        <v>1227</v>
      </c>
      <c r="F31" s="25">
        <f t="shared" si="1"/>
        <v>8.5478421400954404E-3</v>
      </c>
    </row>
    <row r="32" spans="1:6" ht="14.25" customHeight="1">
      <c r="A32" s="23">
        <v>25</v>
      </c>
      <c r="B32" s="24" t="s">
        <v>20</v>
      </c>
      <c r="C32" s="78"/>
      <c r="D32" s="78"/>
      <c r="E32" s="23">
        <f t="shared" si="0"/>
        <v>0</v>
      </c>
      <c r="F32" s="25" t="str">
        <f t="shared" si="1"/>
        <v/>
      </c>
    </row>
    <row r="33" spans="1:6" ht="14.25" customHeight="1">
      <c r="A33" s="23">
        <v>26</v>
      </c>
      <c r="B33" s="24" t="s">
        <v>21</v>
      </c>
      <c r="C33" s="78">
        <v>186</v>
      </c>
      <c r="D33" s="78">
        <v>558</v>
      </c>
      <c r="E33" s="23">
        <f t="shared" si="0"/>
        <v>744</v>
      </c>
      <c r="F33" s="25">
        <f t="shared" si="1"/>
        <v>5.1830436448500466E-3</v>
      </c>
    </row>
    <row r="34" spans="1:6" ht="14.25" customHeight="1">
      <c r="A34" s="23">
        <v>27</v>
      </c>
      <c r="B34" s="115" t="s">
        <v>96</v>
      </c>
      <c r="C34" s="78">
        <v>1</v>
      </c>
      <c r="D34" s="78">
        <v>11</v>
      </c>
      <c r="E34" s="23">
        <f t="shared" si="0"/>
        <v>12</v>
      </c>
      <c r="F34" s="25">
        <f t="shared" si="1"/>
        <v>8.3597478142742691E-5</v>
      </c>
    </row>
    <row r="35" spans="1:6" ht="14.25" customHeight="1">
      <c r="A35" s="23">
        <v>28</v>
      </c>
      <c r="B35" s="24" t="s">
        <v>78</v>
      </c>
      <c r="C35" s="78"/>
      <c r="D35" s="78">
        <v>26</v>
      </c>
      <c r="E35" s="23">
        <f t="shared" si="0"/>
        <v>26</v>
      </c>
      <c r="F35" s="25">
        <f t="shared" si="1"/>
        <v>1.8112786930927582E-4</v>
      </c>
    </row>
    <row r="36" spans="1:6" ht="14.25" customHeight="1">
      <c r="A36" s="23">
        <v>29</v>
      </c>
      <c r="B36" s="115" t="s">
        <v>94</v>
      </c>
      <c r="C36" s="78">
        <v>178</v>
      </c>
      <c r="D36" s="78">
        <v>580</v>
      </c>
      <c r="E36" s="23">
        <f t="shared" si="0"/>
        <v>758</v>
      </c>
      <c r="F36" s="25">
        <f t="shared" si="1"/>
        <v>5.28057403601658E-3</v>
      </c>
    </row>
    <row r="37" spans="1:6" ht="14.25" customHeight="1">
      <c r="A37" s="23">
        <v>30</v>
      </c>
      <c r="B37" s="115" t="s">
        <v>93</v>
      </c>
      <c r="C37" s="78">
        <v>18</v>
      </c>
      <c r="D37" s="78">
        <v>2135</v>
      </c>
      <c r="E37" s="23">
        <f t="shared" si="0"/>
        <v>2153</v>
      </c>
      <c r="F37" s="25">
        <f t="shared" si="1"/>
        <v>1.4998780870110417E-2</v>
      </c>
    </row>
    <row r="38" spans="1:6" ht="14.25" customHeight="1">
      <c r="A38" s="23">
        <v>31</v>
      </c>
      <c r="B38" s="24" t="s">
        <v>51</v>
      </c>
      <c r="C38" s="78">
        <v>14740</v>
      </c>
      <c r="D38" s="78">
        <v>631</v>
      </c>
      <c r="E38" s="23">
        <f t="shared" si="0"/>
        <v>15371</v>
      </c>
      <c r="F38" s="25">
        <f t="shared" si="1"/>
        <v>0.10708140304434149</v>
      </c>
    </row>
    <row r="39" spans="1:6" ht="14.25" customHeight="1">
      <c r="A39" s="23">
        <v>32</v>
      </c>
      <c r="B39" s="24" t="s">
        <v>59</v>
      </c>
      <c r="C39" s="78">
        <v>2532</v>
      </c>
      <c r="D39" s="78">
        <v>53</v>
      </c>
      <c r="E39" s="23">
        <f t="shared" si="0"/>
        <v>2585</v>
      </c>
      <c r="F39" s="25">
        <f t="shared" si="1"/>
        <v>1.8008290083249154E-2</v>
      </c>
    </row>
    <row r="40" spans="1:6" ht="14.25" customHeight="1">
      <c r="A40" s="23">
        <v>33</v>
      </c>
      <c r="B40" s="115" t="s">
        <v>97</v>
      </c>
      <c r="C40" s="78"/>
      <c r="D40" s="78"/>
      <c r="E40" s="23">
        <f t="shared" si="0"/>
        <v>0</v>
      </c>
      <c r="F40" s="25" t="str">
        <f t="shared" ref="F40:F57" si="3">IF(E40=0,"",E40/$E$58)</f>
        <v/>
      </c>
    </row>
    <row r="41" spans="1:6" ht="14.25" customHeight="1">
      <c r="A41" s="23">
        <v>34</v>
      </c>
      <c r="B41" s="115" t="s">
        <v>87</v>
      </c>
      <c r="C41" s="78">
        <v>613</v>
      </c>
      <c r="D41" s="78">
        <v>19</v>
      </c>
      <c r="E41" s="23">
        <f t="shared" si="0"/>
        <v>632</v>
      </c>
      <c r="F41" s="25">
        <f t="shared" si="3"/>
        <v>4.4028005155177822E-3</v>
      </c>
    </row>
    <row r="42" spans="1:6" ht="14.25" customHeight="1">
      <c r="A42" s="23">
        <v>35</v>
      </c>
      <c r="B42" s="24" t="s">
        <v>23</v>
      </c>
      <c r="C42" s="78">
        <v>12218</v>
      </c>
      <c r="D42" s="78">
        <v>939</v>
      </c>
      <c r="E42" s="23">
        <f t="shared" si="0"/>
        <v>13157</v>
      </c>
      <c r="F42" s="25">
        <f t="shared" si="3"/>
        <v>9.1657668327005462E-2</v>
      </c>
    </row>
    <row r="43" spans="1:6" ht="14.25" customHeight="1">
      <c r="A43" s="23">
        <v>36</v>
      </c>
      <c r="B43" s="24" t="s">
        <v>56</v>
      </c>
      <c r="C43" s="78">
        <v>0</v>
      </c>
      <c r="D43" s="78"/>
      <c r="E43" s="23">
        <f t="shared" si="0"/>
        <v>0</v>
      </c>
      <c r="F43" s="25" t="str">
        <f t="shared" si="3"/>
        <v/>
      </c>
    </row>
    <row r="44" spans="1:6" ht="14.25" customHeight="1">
      <c r="A44" s="23">
        <v>37</v>
      </c>
      <c r="B44" s="115" t="s">
        <v>88</v>
      </c>
      <c r="C44" s="78">
        <v>2385</v>
      </c>
      <c r="D44" s="78">
        <v>332</v>
      </c>
      <c r="E44" s="23">
        <f t="shared" si="0"/>
        <v>2717</v>
      </c>
      <c r="F44" s="25">
        <f t="shared" si="3"/>
        <v>1.8927862342819325E-2</v>
      </c>
    </row>
    <row r="45" spans="1:6">
      <c r="A45" s="23">
        <v>38</v>
      </c>
      <c r="B45" s="82" t="s">
        <v>49</v>
      </c>
      <c r="C45" s="78"/>
      <c r="D45" s="78"/>
      <c r="E45" s="23">
        <f t="shared" si="0"/>
        <v>0</v>
      </c>
      <c r="F45" s="25" t="str">
        <f t="shared" si="3"/>
        <v/>
      </c>
    </row>
    <row r="46" spans="1:6">
      <c r="A46" s="23">
        <v>39</v>
      </c>
      <c r="B46" s="24" t="s">
        <v>55</v>
      </c>
      <c r="C46" s="78"/>
      <c r="D46" s="78">
        <v>1</v>
      </c>
      <c r="E46" s="23">
        <f t="shared" si="0"/>
        <v>1</v>
      </c>
      <c r="F46" s="25">
        <f t="shared" si="3"/>
        <v>6.9664565118952245E-6</v>
      </c>
    </row>
    <row r="47" spans="1:6">
      <c r="A47" s="23">
        <v>40</v>
      </c>
      <c r="B47" s="24" t="s">
        <v>58</v>
      </c>
      <c r="C47" s="78">
        <v>2468</v>
      </c>
      <c r="D47" s="78">
        <v>106</v>
      </c>
      <c r="E47" s="23">
        <f t="shared" si="0"/>
        <v>2574</v>
      </c>
      <c r="F47" s="25">
        <f t="shared" si="3"/>
        <v>1.7931659061618307E-2</v>
      </c>
    </row>
    <row r="48" spans="1:6">
      <c r="A48" s="23">
        <v>41</v>
      </c>
      <c r="B48" s="24" t="s">
        <v>52</v>
      </c>
      <c r="C48" s="78">
        <v>4396</v>
      </c>
      <c r="D48" s="78">
        <v>376</v>
      </c>
      <c r="E48" s="23">
        <f t="shared" si="0"/>
        <v>4772</v>
      </c>
      <c r="F48" s="25">
        <f t="shared" si="3"/>
        <v>3.3243930474764011E-2</v>
      </c>
    </row>
    <row r="49" spans="1:6">
      <c r="A49" s="23">
        <v>42</v>
      </c>
      <c r="B49" s="115" t="s">
        <v>24</v>
      </c>
      <c r="C49" s="78">
        <v>3</v>
      </c>
      <c r="D49" s="78">
        <v>429</v>
      </c>
      <c r="E49" s="23">
        <f t="shared" si="0"/>
        <v>432</v>
      </c>
      <c r="F49" s="25">
        <f t="shared" si="3"/>
        <v>3.0095092131387372E-3</v>
      </c>
    </row>
    <row r="50" spans="1:6">
      <c r="A50" s="23">
        <v>43</v>
      </c>
      <c r="B50" s="24" t="s">
        <v>104</v>
      </c>
      <c r="C50" s="78">
        <v>603</v>
      </c>
      <c r="D50" s="78">
        <v>121</v>
      </c>
      <c r="E50" s="23">
        <f t="shared" si="0"/>
        <v>724</v>
      </c>
      <c r="F50" s="25">
        <f t="shared" si="3"/>
        <v>5.0437145146121423E-3</v>
      </c>
    </row>
    <row r="51" spans="1:6">
      <c r="A51" s="23">
        <v>44</v>
      </c>
      <c r="B51" s="24" t="s">
        <v>84</v>
      </c>
      <c r="C51" s="78"/>
      <c r="D51" s="78">
        <v>15</v>
      </c>
      <c r="E51" s="23">
        <f t="shared" si="0"/>
        <v>15</v>
      </c>
      <c r="F51" s="25">
        <f t="shared" si="3"/>
        <v>1.0449684767842837E-4</v>
      </c>
    </row>
    <row r="52" spans="1:6">
      <c r="A52" s="23">
        <v>45</v>
      </c>
      <c r="B52" s="24" t="s">
        <v>86</v>
      </c>
      <c r="C52" s="78">
        <v>1457</v>
      </c>
      <c r="D52" s="78">
        <v>35</v>
      </c>
      <c r="E52" s="23">
        <f t="shared" si="0"/>
        <v>1492</v>
      </c>
      <c r="F52" s="25">
        <f t="shared" si="3"/>
        <v>1.0393953115747675E-2</v>
      </c>
    </row>
    <row r="53" spans="1:6">
      <c r="A53" s="23">
        <v>46</v>
      </c>
      <c r="B53" s="24" t="s">
        <v>25</v>
      </c>
      <c r="C53" s="78">
        <v>3</v>
      </c>
      <c r="D53" s="78">
        <v>514</v>
      </c>
      <c r="E53" s="23">
        <f t="shared" si="0"/>
        <v>517</v>
      </c>
      <c r="F53" s="25">
        <f t="shared" si="3"/>
        <v>3.601658016649831E-3</v>
      </c>
    </row>
    <row r="54" spans="1:6">
      <c r="A54" s="23">
        <v>47</v>
      </c>
      <c r="B54" s="24" t="s">
        <v>81</v>
      </c>
      <c r="C54" s="78"/>
      <c r="D54" s="78"/>
      <c r="E54" s="23">
        <f t="shared" si="0"/>
        <v>0</v>
      </c>
      <c r="F54" s="25" t="str">
        <f t="shared" si="3"/>
        <v/>
      </c>
    </row>
    <row r="55" spans="1:6">
      <c r="A55" s="23">
        <v>48</v>
      </c>
      <c r="B55" s="79" t="s">
        <v>48</v>
      </c>
      <c r="C55" s="78">
        <v>7197</v>
      </c>
      <c r="D55" s="78">
        <v>248</v>
      </c>
      <c r="E55" s="23">
        <f t="shared" si="0"/>
        <v>7445</v>
      </c>
      <c r="F55" s="25">
        <f t="shared" si="3"/>
        <v>5.1865268731059948E-2</v>
      </c>
    </row>
    <row r="56" spans="1:6">
      <c r="A56" s="23">
        <v>49</v>
      </c>
      <c r="B56" s="79" t="s">
        <v>47</v>
      </c>
      <c r="C56" s="78">
        <v>2776</v>
      </c>
      <c r="D56" s="78">
        <v>395</v>
      </c>
      <c r="E56" s="23">
        <f t="shared" si="0"/>
        <v>3171</v>
      </c>
      <c r="F56" s="25">
        <f t="shared" si="3"/>
        <v>2.2090633599219756E-2</v>
      </c>
    </row>
    <row r="57" spans="1:6" ht="13.5" thickBot="1">
      <c r="A57" s="23">
        <v>50</v>
      </c>
      <c r="B57" s="113" t="s">
        <v>80</v>
      </c>
      <c r="C57" s="80">
        <v>1085</v>
      </c>
      <c r="D57" s="80">
        <v>137</v>
      </c>
      <c r="E57" s="73">
        <f t="shared" si="0"/>
        <v>1222</v>
      </c>
      <c r="F57" s="81">
        <f t="shared" si="3"/>
        <v>8.5130098575359643E-3</v>
      </c>
    </row>
    <row r="58" spans="1:6" ht="13.5" thickTop="1">
      <c r="A58" s="12"/>
      <c r="B58" s="6" t="s">
        <v>26</v>
      </c>
      <c r="C58" s="74">
        <f>IF(SUM(C8:C57)=0,0,SUM(C8:C57))</f>
        <v>123617</v>
      </c>
      <c r="D58" s="74">
        <f>IF(SUM(D8:D57)=0,0,SUM(D8:D57))</f>
        <v>19928</v>
      </c>
      <c r="E58" s="74">
        <f>IF(SUM(E8:E57)=0,0,SUM(E8:E57))</f>
        <v>143545</v>
      </c>
      <c r="F58" s="83">
        <f>IF($E$58=0,0,E58/$E$58)</f>
        <v>1</v>
      </c>
    </row>
    <row r="59" spans="1:6">
      <c r="A59" s="2" t="s">
        <v>30</v>
      </c>
      <c r="B59" s="19"/>
      <c r="C59" s="19"/>
      <c r="D59" s="19"/>
      <c r="E59" s="19"/>
    </row>
    <row r="60" spans="1:6">
      <c r="A60" s="2" t="s">
        <v>34</v>
      </c>
      <c r="D60" s="19"/>
      <c r="E60" s="19"/>
    </row>
    <row r="61" spans="1:6">
      <c r="A61" s="2" t="s">
        <v>35</v>
      </c>
      <c r="C61" s="12"/>
      <c r="D61" s="12"/>
      <c r="E61" s="12"/>
    </row>
    <row r="62" spans="1:6">
      <c r="C62" s="12"/>
      <c r="D62" s="12"/>
      <c r="E62" s="12"/>
    </row>
    <row r="63" spans="1:6">
      <c r="B63" s="116" t="str">
        <f>'Summary Load Customers '!A34</f>
        <v>Dated 07/17/2014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6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10" zoomScaleNormal="100" zoomScalePageLayoutView="70" workbookViewId="0">
      <selection activeCell="G12" sqref="G12"/>
    </sheetView>
  </sheetViews>
  <sheetFormatPr defaultColWidth="9.140625" defaultRowHeight="12.75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>
      <c r="A2" s="27" t="s">
        <v>76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>
      <c r="A5" s="11" t="str">
        <f>'Summary Load Customers '!A5</f>
        <v>Data as of June 30, 2014</v>
      </c>
      <c r="B5" s="30"/>
      <c r="C5" s="30"/>
      <c r="D5" s="77"/>
      <c r="E5" s="77"/>
      <c r="F5" s="77"/>
      <c r="G5" s="30"/>
      <c r="H5" s="30"/>
      <c r="I5" s="30"/>
    </row>
    <row r="6" spans="1:9" ht="18" customHeight="1">
      <c r="B6" s="32"/>
      <c r="C6" s="32"/>
      <c r="D6" s="63"/>
      <c r="E6" s="63"/>
      <c r="F6" s="64"/>
      <c r="G6" s="64"/>
      <c r="H6" s="32"/>
    </row>
    <row r="7" spans="1:9" ht="18" customHeight="1">
      <c r="A7" s="65" t="s">
        <v>69</v>
      </c>
      <c r="B7" s="66"/>
      <c r="C7" s="66"/>
      <c r="D7" s="67"/>
      <c r="E7" s="67"/>
      <c r="F7" s="68"/>
      <c r="G7" s="68"/>
      <c r="H7" s="66"/>
      <c r="I7" s="69"/>
    </row>
    <row r="8" spans="1:9" ht="18" customHeight="1">
      <c r="B8" s="32"/>
      <c r="C8" s="32"/>
      <c r="D8" s="63"/>
      <c r="E8" s="63"/>
      <c r="F8" s="70"/>
      <c r="G8" s="70"/>
      <c r="H8" s="32"/>
    </row>
    <row r="9" spans="1:9" ht="18" customHeight="1">
      <c r="A9" s="33" t="s">
        <v>101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>
      <c r="A10" s="44"/>
      <c r="B10" s="36" t="s">
        <v>5</v>
      </c>
      <c r="C10" s="56"/>
      <c r="D10" s="36" t="s">
        <v>38</v>
      </c>
      <c r="E10" s="57"/>
      <c r="F10" s="36" t="s">
        <v>45</v>
      </c>
      <c r="G10" s="38"/>
    </row>
    <row r="11" spans="1:9" ht="18" customHeight="1">
      <c r="A11" s="41"/>
      <c r="B11" s="42" t="s">
        <v>22</v>
      </c>
      <c r="C11" s="43" t="s">
        <v>32</v>
      </c>
      <c r="D11" s="42" t="str">
        <f>B11</f>
        <v>Customers</v>
      </c>
      <c r="E11" s="43" t="s">
        <v>32</v>
      </c>
      <c r="F11" s="42" t="str">
        <f>B11</f>
        <v>Customers</v>
      </c>
      <c r="G11" s="43" t="s">
        <v>31</v>
      </c>
    </row>
    <row r="12" spans="1:9" ht="18" customHeight="1">
      <c r="A12" s="44" t="s">
        <v>71</v>
      </c>
      <c r="B12" s="47">
        <f>REC_programs_detail!B22</f>
        <v>4854</v>
      </c>
      <c r="C12" s="48">
        <f>IF(B12=0,0,B12/'Summary Load Customers '!$B$21)</f>
        <v>1.642083897158322E-2</v>
      </c>
      <c r="D12" s="47">
        <f>REC_programs_detail!C22</f>
        <v>47</v>
      </c>
      <c r="E12" s="48">
        <f>IF(D12=0,0,D12/('Summary Load Customers '!$D$21+'Summary Load Customers '!$F$21))</f>
        <v>1.2041093433761176E-3</v>
      </c>
      <c r="F12" s="47">
        <f>B12+D12</f>
        <v>4901</v>
      </c>
      <c r="G12" s="48">
        <f>IF(F12=0,0,F12/'Summary Load Customers '!$H$21)</f>
        <v>1.4645895652849539E-2</v>
      </c>
    </row>
    <row r="13" spans="1:9" ht="15.75" customHeight="1">
      <c r="G13" s="54"/>
      <c r="H13" s="32"/>
    </row>
    <row r="14" spans="1:9" ht="15.75" customHeight="1">
      <c r="A14" s="112" t="str">
        <f>"As the above table shows, "&amp;TEXT(F12,"0,000")&amp;" of UI's customers, or "&amp;TEXT(G12,"0.0%")&amp;" are participating in the CTCleanEnergyOptions Program."</f>
        <v>As the above table shows, 4,901 of UI's customers, or 1.5% are participating in the CTCleanEnergyOptions Program.</v>
      </c>
      <c r="G14" s="54"/>
      <c r="H14" s="32"/>
    </row>
    <row r="15" spans="1:9" ht="15.75" customHeight="1">
      <c r="G15" s="54"/>
      <c r="H15" s="32"/>
    </row>
    <row r="16" spans="1:9" ht="18" customHeight="1">
      <c r="A16" s="33" t="s">
        <v>70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>
      <c r="A17" s="44"/>
      <c r="B17" s="36" t="s">
        <v>5</v>
      </c>
      <c r="C17" s="56"/>
      <c r="D17" s="36" t="s">
        <v>38</v>
      </c>
      <c r="E17" s="57"/>
      <c r="F17" s="36" t="s">
        <v>45</v>
      </c>
      <c r="G17" s="38"/>
    </row>
    <row r="18" spans="1:9" ht="18" customHeight="1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B18</f>
        <v>Customers</v>
      </c>
      <c r="G18" s="43" t="s">
        <v>31</v>
      </c>
    </row>
    <row r="19" spans="1:9" ht="18" customHeight="1">
      <c r="A19" s="44" t="s">
        <v>72</v>
      </c>
      <c r="B19" s="47">
        <f>REC_programs_detail!B28</f>
        <v>904</v>
      </c>
      <c r="C19" s="48">
        <f>IF(B19=0,0,B19/'Summary Load Customers '!$B$21)</f>
        <v>3.0581867388362652E-3</v>
      </c>
      <c r="D19" s="47">
        <f>REC_programs_detail!C28</f>
        <v>65</v>
      </c>
      <c r="E19" s="48">
        <f>IF(D19=0,0,D19/('Summary Load Customers '!$D$21+'Summary Load Customers '!$F$21))</f>
        <v>1.6652576025414393E-3</v>
      </c>
      <c r="F19" s="47">
        <f>B19+D19</f>
        <v>969</v>
      </c>
      <c r="G19" s="48">
        <f>IF(F19=0,0,F19/'Summary Load Customers '!$H$21)</f>
        <v>2.8957096281598048E-3</v>
      </c>
    </row>
    <row r="20" spans="1:9" ht="18" customHeight="1">
      <c r="B20" s="53"/>
      <c r="C20" s="52"/>
      <c r="D20" s="53"/>
      <c r="E20" s="52"/>
      <c r="F20" s="53"/>
      <c r="G20" s="52"/>
      <c r="H20" s="53"/>
      <c r="I20" s="52"/>
    </row>
    <row r="21" spans="1:9" ht="18" customHeight="1">
      <c r="A21" s="112" t="str">
        <f>"As the above table shows, "&amp;TEXT(F19,"0,000")&amp;" of UI's customers, or "&amp;TEXT(G19,"0.0%")&amp;" are participating in the REC only program."</f>
        <v>As the above table shows, 0,969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4.25">
      <c r="A22" s="50"/>
    </row>
    <row r="23" spans="1:9" ht="15">
      <c r="A23" s="33" t="s">
        <v>74</v>
      </c>
      <c r="B23" s="34"/>
      <c r="C23" s="34"/>
      <c r="D23" s="34"/>
      <c r="E23" s="34"/>
      <c r="F23" s="34"/>
      <c r="G23" s="55"/>
      <c r="H23" s="29"/>
      <c r="I23" s="30"/>
    </row>
    <row r="24" spans="1:9" ht="15">
      <c r="A24" s="44"/>
      <c r="B24" s="36" t="s">
        <v>5</v>
      </c>
      <c r="C24" s="56"/>
      <c r="D24" s="36" t="s">
        <v>38</v>
      </c>
      <c r="E24" s="57"/>
      <c r="F24" s="36" t="s">
        <v>45</v>
      </c>
      <c r="G24" s="38"/>
    </row>
    <row r="25" spans="1:9" ht="15">
      <c r="A25" s="41"/>
      <c r="B25" s="42" t="s">
        <v>22</v>
      </c>
      <c r="C25" s="43" t="s">
        <v>32</v>
      </c>
      <c r="D25" s="42" t="str">
        <f>B25</f>
        <v>Customers</v>
      </c>
      <c r="E25" s="43" t="s">
        <v>32</v>
      </c>
      <c r="F25" s="42" t="str">
        <f>B25</f>
        <v>Customers</v>
      </c>
      <c r="G25" s="43" t="s">
        <v>31</v>
      </c>
    </row>
    <row r="26" spans="1:9" ht="14.25">
      <c r="A26" s="44" t="s">
        <v>73</v>
      </c>
      <c r="B26" s="47">
        <f>B12+B19</f>
        <v>5758</v>
      </c>
      <c r="C26" s="48">
        <f>IF(B26=0,0,B26/'Summary Load Customers '!$B$21)</f>
        <v>1.9479025710419484E-2</v>
      </c>
      <c r="D26" s="47">
        <f>D12+D19</f>
        <v>112</v>
      </c>
      <c r="E26" s="48">
        <f>IF(D26=0,0,D26/('Summary Load Customers '!$D$21+'Summary Load Customers '!$F$21))</f>
        <v>2.8693669459175569E-3</v>
      </c>
      <c r="F26" s="47">
        <f>B26+D26</f>
        <v>5870</v>
      </c>
      <c r="G26" s="48">
        <f>IF(F26=0,0,F26/'Summary Load Customers '!$H$21)</f>
        <v>1.7541605281009346E-2</v>
      </c>
    </row>
    <row r="27" spans="1:9" ht="15">
      <c r="G27" s="54"/>
      <c r="H27" s="32"/>
    </row>
    <row r="28" spans="1:9" ht="15">
      <c r="A28" s="112" t="str">
        <f>"As the above table shows, "&amp;TEXT(F26,"0,000")&amp;" of UI's customers, or "&amp;TEXT(G26,"0.0%")&amp;" are participating in the combined REC programs."</f>
        <v>As the above table shows, 5,870 of UI's customers, or 1.8% are participating in the combined REC programs.</v>
      </c>
      <c r="G28" s="54"/>
      <c r="H28" s="32"/>
    </row>
    <row r="30" spans="1:9" ht="13.5">
      <c r="A30" s="71" t="s">
        <v>44</v>
      </c>
    </row>
    <row r="31" spans="1:9" ht="13.5">
      <c r="A31" s="71"/>
    </row>
    <row r="32" spans="1:9" ht="13.5">
      <c r="A32" s="71" t="s">
        <v>102</v>
      </c>
    </row>
    <row r="33" spans="1:1">
      <c r="A33" s="72" t="s">
        <v>98</v>
      </c>
    </row>
    <row r="35" spans="1:1">
      <c r="A35" s="72" t="s">
        <v>30</v>
      </c>
    </row>
    <row r="37" spans="1:1">
      <c r="A37" s="3" t="str">
        <f>'Summary Load Customers '!A34</f>
        <v>Dated 07/17/2014</v>
      </c>
    </row>
  </sheetData>
  <phoneticPr fontId="10" type="noConversion"/>
  <printOptions horizontalCentered="1"/>
  <pageMargins left="0.75" right="0.5" top="1.5" bottom="1" header="0.5" footer="0.5"/>
  <pageSetup scale="90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G26" sqref="G26"/>
    </sheetView>
  </sheetViews>
  <sheetFormatPr defaultColWidth="9.140625" defaultRowHeight="11.25"/>
  <cols>
    <col min="1" max="1" width="28" style="87" customWidth="1"/>
    <col min="2" max="3" width="19.140625" style="87" customWidth="1"/>
    <col min="4" max="4" width="20.28515625" style="87" customWidth="1"/>
    <col min="5" max="5" width="7.140625" style="87" customWidth="1"/>
    <col min="6" max="6" width="23.28515625" style="87" bestFit="1" customWidth="1"/>
    <col min="7" max="7" width="10.42578125" style="87" customWidth="1"/>
    <col min="8" max="16384" width="9.140625" style="87"/>
  </cols>
  <sheetData>
    <row r="1" spans="1:8" s="86" customFormat="1" ht="15" customHeight="1">
      <c r="A1" s="119" t="str">
        <f>'Summary Load Customers '!A1</f>
        <v>The United Illuminating Company</v>
      </c>
      <c r="B1" s="119"/>
      <c r="C1" s="119"/>
      <c r="D1" s="119"/>
      <c r="E1" s="84"/>
      <c r="F1" s="84"/>
      <c r="G1" s="85"/>
    </row>
    <row r="2" spans="1:8" s="86" customFormat="1" ht="15" customHeight="1">
      <c r="A2" s="119" t="s">
        <v>62</v>
      </c>
      <c r="B2" s="119"/>
      <c r="C2" s="119"/>
      <c r="D2" s="119"/>
      <c r="E2" s="84"/>
      <c r="F2" s="84"/>
      <c r="G2" s="85"/>
    </row>
    <row r="3" spans="1:8" s="86" customFormat="1" ht="15" customHeight="1">
      <c r="A3" s="119" t="s">
        <v>2</v>
      </c>
      <c r="B3" s="119"/>
      <c r="C3" s="119"/>
      <c r="D3" s="119"/>
      <c r="E3" s="84"/>
      <c r="F3" s="84"/>
      <c r="G3" s="85"/>
    </row>
    <row r="4" spans="1:8" s="86" customFormat="1" ht="15" customHeight="1">
      <c r="A4" s="119" t="str">
        <f>'Summary Load Customers '!A5</f>
        <v>Data as of June 30, 2014</v>
      </c>
      <c r="B4" s="119"/>
      <c r="C4" s="119"/>
      <c r="D4" s="119"/>
      <c r="E4" s="84"/>
      <c r="F4" s="84"/>
      <c r="G4" s="85"/>
    </row>
    <row r="5" spans="1:8">
      <c r="C5" s="88"/>
      <c r="D5" s="88"/>
      <c r="E5" s="88"/>
      <c r="F5" s="88"/>
      <c r="G5" s="88"/>
    </row>
    <row r="6" spans="1:8" s="94" customFormat="1" ht="22.5">
      <c r="A6" s="89" t="s">
        <v>64</v>
      </c>
      <c r="B6" s="90" t="s">
        <v>5</v>
      </c>
      <c r="C6" s="89" t="s">
        <v>6</v>
      </c>
      <c r="D6" s="89" t="s">
        <v>45</v>
      </c>
      <c r="E6" s="91"/>
      <c r="F6" s="91"/>
      <c r="G6" s="92"/>
      <c r="H6" s="93"/>
    </row>
    <row r="7" spans="1:8">
      <c r="A7" s="95" t="s">
        <v>63</v>
      </c>
      <c r="B7" s="96"/>
      <c r="C7" s="97"/>
      <c r="D7" s="98">
        <f>IF(C7=0,0,C7)</f>
        <v>0</v>
      </c>
      <c r="E7" s="88"/>
      <c r="F7" s="88"/>
      <c r="G7" s="99"/>
      <c r="H7" s="88"/>
    </row>
    <row r="8" spans="1:8">
      <c r="A8" s="95" t="s">
        <v>27</v>
      </c>
      <c r="B8" s="97">
        <v>195</v>
      </c>
      <c r="C8" s="97">
        <v>2</v>
      </c>
      <c r="D8" s="98">
        <f>SUM(B8:C8)</f>
        <v>197</v>
      </c>
      <c r="E8" s="100"/>
      <c r="F8" s="100"/>
      <c r="G8" s="99"/>
      <c r="H8" s="88"/>
    </row>
    <row r="9" spans="1:8">
      <c r="A9" s="95" t="s">
        <v>28</v>
      </c>
      <c r="B9" s="97">
        <v>3905</v>
      </c>
      <c r="C9" s="97">
        <v>43</v>
      </c>
      <c r="D9" s="98">
        <f>SUM(B9:C9)</f>
        <v>3948</v>
      </c>
      <c r="E9" s="101"/>
      <c r="F9" s="102"/>
      <c r="G9" s="99"/>
      <c r="H9" s="88"/>
    </row>
    <row r="10" spans="1:8">
      <c r="A10" s="103" t="s">
        <v>7</v>
      </c>
      <c r="B10" s="104">
        <f>IF(B8+B9=0,0,B8+B9)</f>
        <v>4100</v>
      </c>
      <c r="C10" s="104">
        <f>IF(SUM(C7:C9)=0,0,SUM(C7:C9))</f>
        <v>45</v>
      </c>
      <c r="D10" s="104">
        <f>IF(SUM(D7:D9)=0,0,SUM(D7:D9))</f>
        <v>4145</v>
      </c>
      <c r="E10" s="101"/>
      <c r="F10" s="102"/>
      <c r="G10" s="99"/>
      <c r="H10" s="88"/>
    </row>
    <row r="11" spans="1:8">
      <c r="A11" s="88"/>
      <c r="B11" s="105"/>
      <c r="C11" s="105"/>
      <c r="D11" s="105"/>
      <c r="E11" s="101"/>
      <c r="F11" s="102"/>
      <c r="G11" s="106"/>
      <c r="H11" s="88"/>
    </row>
    <row r="12" spans="1:8" ht="22.5">
      <c r="A12" s="89" t="s">
        <v>67</v>
      </c>
      <c r="B12" s="89" t="s">
        <v>5</v>
      </c>
      <c r="C12" s="89" t="str">
        <f>C6</f>
        <v>Business</v>
      </c>
      <c r="D12" s="89" t="s">
        <v>45</v>
      </c>
      <c r="E12" s="107"/>
      <c r="F12" s="108"/>
      <c r="G12" s="106"/>
      <c r="H12" s="88"/>
    </row>
    <row r="13" spans="1:8">
      <c r="A13" s="95" t="s">
        <v>63</v>
      </c>
      <c r="B13" s="96"/>
      <c r="C13" s="97"/>
      <c r="D13" s="98">
        <f>IF(C13=0,0,C13)</f>
        <v>0</v>
      </c>
      <c r="E13" s="88"/>
      <c r="F13" s="88"/>
      <c r="G13" s="106"/>
      <c r="H13" s="88"/>
    </row>
    <row r="14" spans="1:8">
      <c r="A14" s="95" t="s">
        <v>27</v>
      </c>
      <c r="B14" s="97">
        <v>4</v>
      </c>
      <c r="C14" s="97">
        <v>0</v>
      </c>
      <c r="D14" s="98">
        <f>SUM(B14:C14)</f>
        <v>4</v>
      </c>
      <c r="E14" s="100"/>
      <c r="F14" s="100"/>
      <c r="G14" s="99"/>
      <c r="H14" s="88"/>
    </row>
    <row r="15" spans="1:8">
      <c r="A15" s="95" t="s">
        <v>28</v>
      </c>
      <c r="B15" s="97">
        <v>750</v>
      </c>
      <c r="C15" s="97">
        <v>2</v>
      </c>
      <c r="D15" s="98">
        <f>SUM(B15:C15)</f>
        <v>752</v>
      </c>
      <c r="E15" s="101"/>
      <c r="F15" s="102"/>
      <c r="G15" s="99"/>
      <c r="H15" s="88"/>
    </row>
    <row r="16" spans="1:8">
      <c r="A16" s="103" t="str">
        <f>A10</f>
        <v>Total</v>
      </c>
      <c r="B16" s="104">
        <f>IF(B14+B15=0,0,B14+B15)</f>
        <v>754</v>
      </c>
      <c r="C16" s="104">
        <f>IF(SUM(C13:C15)=0,0,SUM(C13:C15))</f>
        <v>2</v>
      </c>
      <c r="D16" s="104">
        <f>IF(SUM(D13:D15)=0,0,SUM(D13:D15))</f>
        <v>756</v>
      </c>
      <c r="E16" s="101"/>
      <c r="F16" s="102"/>
      <c r="G16" s="99"/>
      <c r="H16" s="88"/>
    </row>
    <row r="17" spans="1:8">
      <c r="A17" s="88"/>
      <c r="B17" s="88"/>
      <c r="C17" s="88"/>
      <c r="D17" s="88"/>
      <c r="E17" s="101"/>
      <c r="F17" s="102"/>
      <c r="G17" s="106"/>
      <c r="H17" s="88"/>
    </row>
    <row r="18" spans="1:8" ht="22.5">
      <c r="A18" s="89" t="s">
        <v>68</v>
      </c>
      <c r="B18" s="89" t="s">
        <v>5</v>
      </c>
      <c r="C18" s="89" t="str">
        <f>C6</f>
        <v>Business</v>
      </c>
      <c r="D18" s="89" t="s">
        <v>45</v>
      </c>
      <c r="E18" s="107"/>
      <c r="F18" s="108"/>
      <c r="G18" s="106"/>
      <c r="H18" s="88"/>
    </row>
    <row r="19" spans="1:8">
      <c r="A19" s="95" t="s">
        <v>63</v>
      </c>
      <c r="B19" s="96"/>
      <c r="C19" s="109">
        <f t="shared" ref="C19:D20" si="0">IF(C7+C13=0,0,C7+C13)</f>
        <v>0</v>
      </c>
      <c r="D19" s="98"/>
      <c r="E19" s="106"/>
      <c r="F19" s="106"/>
      <c r="G19" s="106"/>
      <c r="H19" s="88"/>
    </row>
    <row r="20" spans="1:8">
      <c r="A20" s="95" t="s">
        <v>27</v>
      </c>
      <c r="B20" s="109">
        <f>IF(B8+B14=0,0,B8+B14)</f>
        <v>199</v>
      </c>
      <c r="C20" s="109">
        <f>IF(C8+C14=0,0,C8+C14)</f>
        <v>2</v>
      </c>
      <c r="D20" s="98">
        <f t="shared" si="0"/>
        <v>201</v>
      </c>
      <c r="E20" s="99"/>
      <c r="F20" s="106"/>
      <c r="G20" s="106"/>
      <c r="H20" s="88"/>
    </row>
    <row r="21" spans="1:8">
      <c r="A21" s="95" t="s">
        <v>28</v>
      </c>
      <c r="B21" s="109">
        <f>IF(B9+B15=0,0,B9+B15)</f>
        <v>4655</v>
      </c>
      <c r="C21" s="109">
        <f>IF(C9+C15=0,0,C9+C15)</f>
        <v>45</v>
      </c>
      <c r="D21" s="98">
        <f>IF(D9+D15=0,0,D9+D15)</f>
        <v>4700</v>
      </c>
      <c r="E21" s="88"/>
      <c r="F21" s="106"/>
      <c r="G21" s="106"/>
      <c r="H21" s="88"/>
    </row>
    <row r="22" spans="1:8">
      <c r="A22" s="103" t="str">
        <f>A10</f>
        <v>Total</v>
      </c>
      <c r="B22" s="104">
        <f>IF(B20+B21=0,0,B20+B21)</f>
        <v>4854</v>
      </c>
      <c r="C22" s="104">
        <f>IF(SUM(C19:C21)=0,0,SUM(C19:C21))</f>
        <v>47</v>
      </c>
      <c r="D22" s="104">
        <f>SUM(D19:D21)</f>
        <v>4901</v>
      </c>
      <c r="E22" s="88"/>
      <c r="F22" s="106"/>
      <c r="G22" s="106"/>
      <c r="H22" s="88"/>
    </row>
    <row r="23" spans="1:8">
      <c r="B23" s="88"/>
      <c r="C23" s="88"/>
      <c r="E23" s="88"/>
      <c r="F23" s="106"/>
      <c r="G23" s="106"/>
      <c r="H23" s="88"/>
    </row>
    <row r="24" spans="1:8" ht="22.5">
      <c r="A24" s="89" t="s">
        <v>65</v>
      </c>
      <c r="B24" s="89" t="s">
        <v>5</v>
      </c>
      <c r="C24" s="89">
        <f>C17</f>
        <v>0</v>
      </c>
      <c r="D24" s="89" t="s">
        <v>45</v>
      </c>
    </row>
    <row r="25" spans="1:8">
      <c r="A25" s="95" t="s">
        <v>63</v>
      </c>
      <c r="B25" s="96"/>
      <c r="C25" s="109">
        <f>IF(C13+C19=0,0,C13+C19)</f>
        <v>0</v>
      </c>
      <c r="D25" s="98">
        <f>IF(C25=0,0,C25)</f>
        <v>0</v>
      </c>
    </row>
    <row r="26" spans="1:8">
      <c r="A26" s="95" t="s">
        <v>27</v>
      </c>
      <c r="B26" s="97">
        <v>246</v>
      </c>
      <c r="C26" s="97">
        <v>11</v>
      </c>
      <c r="D26" s="98">
        <f>SUM(B26:C26)</f>
        <v>257</v>
      </c>
    </row>
    <row r="27" spans="1:8">
      <c r="A27" s="95" t="s">
        <v>28</v>
      </c>
      <c r="B27" s="97">
        <v>658</v>
      </c>
      <c r="C27" s="97">
        <v>54</v>
      </c>
      <c r="D27" s="98">
        <f>SUM(B27:C27)</f>
        <v>712</v>
      </c>
    </row>
    <row r="28" spans="1:8">
      <c r="A28" s="103" t="str">
        <f>A22</f>
        <v>Total</v>
      </c>
      <c r="B28" s="104">
        <f>IF(B26+B27=0,0,B26+B27)</f>
        <v>904</v>
      </c>
      <c r="C28" s="104">
        <f>IF(SUM(C25:C27)=0,0,SUM(C25:C27))</f>
        <v>65</v>
      </c>
      <c r="D28" s="104">
        <f>IF(SUM(D25:D27)=0,0,SUM(D25:D27))</f>
        <v>969</v>
      </c>
    </row>
    <row r="30" spans="1:8">
      <c r="A30" s="89" t="s">
        <v>66</v>
      </c>
      <c r="B30" s="89" t="s">
        <v>5</v>
      </c>
      <c r="C30" s="89" t="str">
        <f>C18</f>
        <v>Business</v>
      </c>
      <c r="D30" s="89" t="s">
        <v>45</v>
      </c>
    </row>
    <row r="31" spans="1:8">
      <c r="A31" s="95" t="s">
        <v>63</v>
      </c>
      <c r="B31" s="96"/>
      <c r="C31" s="109">
        <f t="shared" ref="C31:D33" si="1">C19+C25</f>
        <v>0</v>
      </c>
      <c r="D31" s="98">
        <f t="shared" si="1"/>
        <v>0</v>
      </c>
    </row>
    <row r="32" spans="1:8">
      <c r="A32" s="95" t="s">
        <v>27</v>
      </c>
      <c r="B32" s="109">
        <f>B20+B26</f>
        <v>445</v>
      </c>
      <c r="C32" s="109">
        <f t="shared" si="1"/>
        <v>13</v>
      </c>
      <c r="D32" s="98">
        <f t="shared" si="1"/>
        <v>458</v>
      </c>
      <c r="E32" s="88"/>
      <c r="F32" s="88"/>
      <c r="G32" s="88"/>
    </row>
    <row r="33" spans="1:4">
      <c r="A33" s="95" t="s">
        <v>28</v>
      </c>
      <c r="B33" s="109">
        <f>B21+B27</f>
        <v>5313</v>
      </c>
      <c r="C33" s="109">
        <f t="shared" si="1"/>
        <v>99</v>
      </c>
      <c r="D33" s="98">
        <f t="shared" si="1"/>
        <v>5412</v>
      </c>
    </row>
    <row r="34" spans="1:4">
      <c r="A34" s="103" t="str">
        <f>A28</f>
        <v>Total</v>
      </c>
      <c r="B34" s="104">
        <f>IF(B32+B33=0,0,B32+B33)</f>
        <v>5758</v>
      </c>
      <c r="C34" s="104">
        <f>IF(SUM(C31:C33)=0,0,SUM(C31:C33))</f>
        <v>112</v>
      </c>
      <c r="D34" s="104">
        <f>SUM(D31:D33)</f>
        <v>5870</v>
      </c>
    </row>
    <row r="36" spans="1:4">
      <c r="A36" s="110" t="str">
        <f>"In summary, "&amp;TEXT($D$22,"0,000")&amp; " of UI's customers are participating in the CTCleanEnergyOptions Program"</f>
        <v>In summary, 4,901 of UI's customers are participating in the CTCleanEnergyOptions Program</v>
      </c>
    </row>
    <row r="37" spans="1:4">
      <c r="A37" s="110" t="str">
        <f>"In summary, "&amp;TEXT($D$28,"0,000")&amp; " of UI's customers are participating in RECs only with Sterling Planet"</f>
        <v>In summary, 0,969 of UI's customers are participating in RECs only with Sterling Planet</v>
      </c>
    </row>
    <row r="38" spans="1:4">
      <c r="A38" s="110" t="str">
        <f>"In summary, "&amp;TEXT($D$34,"0,000")&amp; " of UI's customers are participating in all REC programs"</f>
        <v>In summary, 5,870 of UI's customers are participating in all REC programs</v>
      </c>
    </row>
    <row r="40" spans="1:4">
      <c r="A40" s="111" t="s">
        <v>33</v>
      </c>
    </row>
    <row r="41" spans="1:4">
      <c r="A41" s="88" t="s">
        <v>29</v>
      </c>
    </row>
    <row r="43" spans="1:4">
      <c r="A43" s="87" t="str">
        <f>'Summary Load Customers '!A34</f>
        <v>Dated 07/17/2014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19 C25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Millerk</cp:lastModifiedBy>
  <cp:lastPrinted>2014-07-14T17:16:06Z</cp:lastPrinted>
  <dcterms:created xsi:type="dcterms:W3CDTF">2009-03-17T13:14:28Z</dcterms:created>
  <dcterms:modified xsi:type="dcterms:W3CDTF">2014-07-30T13:31:02Z</dcterms:modified>
</cp:coreProperties>
</file>