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7580" windowHeight="933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A37" i="5" l="1"/>
  <c r="F12" i="7" l="1"/>
  <c r="A4" i="5" l="1"/>
  <c r="C21" i="5" l="1"/>
  <c r="B21" i="5"/>
  <c r="C20" i="5"/>
  <c r="B20" i="5"/>
  <c r="H11" i="7" l="1"/>
  <c r="E50" i="6"/>
  <c r="E51" i="6"/>
  <c r="E49" i="6"/>
  <c r="E27" i="6" l="1"/>
  <c r="E9" i="6" l="1"/>
  <c r="E10" i="6"/>
  <c r="E11" i="6"/>
  <c r="E12" i="6"/>
  <c r="E13" i="6"/>
  <c r="F13" i="6" s="1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F40" i="6" s="1"/>
  <c r="E41" i="6"/>
  <c r="E42" i="6"/>
  <c r="E43" i="6"/>
  <c r="E44" i="6"/>
  <c r="E45" i="6"/>
  <c r="F45" i="6" s="1"/>
  <c r="E46" i="6"/>
  <c r="E47" i="6"/>
  <c r="E48" i="6"/>
  <c r="E52" i="6"/>
  <c r="E53" i="6"/>
  <c r="E54" i="6"/>
  <c r="F54" i="6" s="1"/>
  <c r="E55" i="6"/>
  <c r="E56" i="6"/>
  <c r="E57" i="6"/>
  <c r="E8" i="6" l="1"/>
  <c r="B33" i="5"/>
  <c r="D58" i="6"/>
  <c r="C58" i="6"/>
  <c r="C33" i="5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A1" i="6"/>
  <c r="A1" i="5"/>
  <c r="C16" i="5"/>
  <c r="C10" i="5"/>
  <c r="B10" i="5"/>
  <c r="B16" i="5"/>
  <c r="A4" i="6"/>
  <c r="A21" i="7"/>
  <c r="A20" i="7"/>
  <c r="D9" i="7"/>
  <c r="F9" i="7"/>
  <c r="H9" i="7" s="1"/>
  <c r="B12" i="7"/>
  <c r="C10" i="7" s="1"/>
  <c r="D12" i="7"/>
  <c r="E11" i="7" s="1"/>
  <c r="G11" i="7"/>
  <c r="D18" i="7"/>
  <c r="F18" i="7" s="1"/>
  <c r="H18" i="7" s="1"/>
  <c r="A19" i="7"/>
  <c r="A16" i="5"/>
  <c r="C12" i="5"/>
  <c r="C25" i="5"/>
  <c r="D25" i="5"/>
  <c r="C28" i="5"/>
  <c r="D19" i="8" s="1"/>
  <c r="D21" i="5" l="1"/>
  <c r="D33" i="5" s="1"/>
  <c r="D20" i="5"/>
  <c r="D32" i="5" s="1"/>
  <c r="F19" i="8"/>
  <c r="E19" i="7"/>
  <c r="C11" i="7"/>
  <c r="G19" i="7"/>
  <c r="D28" i="5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58" i="6"/>
  <c r="E10" i="7"/>
  <c r="C22" i="5"/>
  <c r="D12" i="8" s="1"/>
  <c r="F43" i="6" l="1"/>
  <c r="F32" i="6"/>
  <c r="F49" i="6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<sst xmlns="http://schemas.openxmlformats.org/spreadsheetml/2006/main" count="168" uniqueCount="107">
  <si>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</si>
  <si>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</si>
  <si>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</si>
  <si>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</si>
  <si>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</si>
  <si>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</si>
  <si>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</si>
  <si>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</si>
  <si>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</si>
  <si>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</si>
  <si>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</si>
  <si>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</si>
  <si>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</si>
  <si>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</si>
  <si>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</si>
  <si>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</si>
  <si>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</si>
  <si>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</si>
  <si>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</si>
  <si>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</si>
  <si>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</si>
  <si>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</si>
  <si>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</si>
  <si>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</si>
  <si>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</si>
  <si>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</si>
  <si>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</si>
  <si>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</si>
  <si>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</si>
  <si>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</si>
  <si>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</si>
  <si>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</si>
  <si>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</si>
  <si>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</si>
  <si>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</si>
  <si>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</si>
  <si>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</si>
  <si>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</si>
  <si>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</si>
  <si>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</si>
  <si>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</si>
  <si>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</si>
  <si>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</si>
  <si>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</si>
  <si>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</si>
  <si>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</si>
  <si>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</si>
  <si>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</si>
  <si>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</si>
  <si>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</si>
  <si>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</si>
  <si>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</si>
  <si>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</si>
  <si>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</si>
  <si>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</si>
  <si>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</si>
  <si>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</si>
  <si>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</si>
  <si>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</si>
  <si>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</si>
  <si>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</si>
  <si>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</si>
  <si>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</si>
  <si>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</si>
  <si>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</si>
  <si>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</si>
  <si>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</si>
  <si>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</si>
  <si>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</si>
  <si>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</si>
  <si>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</si>
  <si>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</si>
  <si>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</si>
  <si>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</si>
  <si>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</si>
  <si>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</si>
  <si>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</si>
  <si>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</si>
  <si>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</si>
  <si>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</si>
  <si>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</si>
  <si>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</si>
  <si>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</si>
  <si>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</si>
  <si>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</si>
  <si>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</si>
  <si>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</si>
  <si>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</si>
  <si>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</si>
  <si>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</si>
  <si>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</si>
  <si>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</si>
  <si>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</si>
  <si>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</si>
  <si>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</si>
  <si>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</si>
  <si>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</si>
  <si>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</si>
  <si>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</si>
  <si>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</si>
  <si>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</si>
  <si>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</si>
  <si>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</si>
  <si>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</si>
  <si>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</si>
  <si>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September 30, 2014</t>
  </si>
  <si>
    <t>Dated 10/17/2014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</si>
</sst>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15" s="10" customFormat="1" ht="18" customHeight="1" x14ac:dyDescent="0.2">
      <c r="A5" s="26" t="s">
        <v>105</v>
      </c>
      <c r="B5" s="30"/>
      <c r="C5" s="30"/>
      <c r="D5" s="77"/>
      <c r="E5" s="77"/>
      <c r="F5" s="77"/>
      <c r="G5" s="30"/>
      <c r="H5" s="30"/>
      <c r="I5" s="30"/>
    </row>
    <row r="7" spans="1:15" ht="18" customHeight="1" x14ac:dyDescent="0.2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15" s="40" customFormat="1" ht="18" customHeight="1" x14ac:dyDescent="0.2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15" ht="18" customHeight="1" x14ac:dyDescent="0.2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15" ht="18" customHeight="1" x14ac:dyDescent="0.2">
      <c r="A10" s="44" t="s">
        <v>13</v>
      </c>
      <c r="B10" s="75">
        <v>75873.923999999941</v>
      </c>
      <c r="C10" s="45">
        <f>IF(B10=0,0,B10/$B$12)</f>
        <v>0.4337076600289636</v>
      </c>
      <c r="D10" s="75">
        <v>115364.33669399998</v>
      </c>
      <c r="E10" s="45">
        <f>IF(D10=0,0,D10/$D$12)</f>
        <v>0.6941254913563224</v>
      </c>
      <c r="F10" s="75">
        <v>104254.450306</v>
      </c>
      <c r="G10" s="45">
        <f>IF(F10=0,0,F10/$F$12)</f>
        <v>0.9624589101730765</v>
      </c>
      <c r="H10" s="46">
        <f>IF(B10+D10+F10=0,0,B10+D10+F10)</f>
        <v>295492.71099999995</v>
      </c>
      <c r="I10" s="45">
        <f>IF(H10=0,0,H10/$H$12)</f>
        <v>0.6574328636693606</v>
      </c>
    </row>
    <row r="11" spans="1:15" ht="18" customHeight="1" x14ac:dyDescent="0.2">
      <c r="A11" s="44" t="s">
        <v>15</v>
      </c>
      <c r="B11" s="76">
        <v>99068.625999999975</v>
      </c>
      <c r="C11" s="45">
        <f>IF(B11=0,0,B11/$B$12)</f>
        <v>0.56629233997103634</v>
      </c>
      <c r="D11" s="76">
        <v>50836.643000000127</v>
      </c>
      <c r="E11" s="45">
        <f>IF(D11=0,0,D11/$D$12)</f>
        <v>0.30587450864367766</v>
      </c>
      <c r="F11" s="76">
        <v>4066.4860000000003</v>
      </c>
      <c r="G11" s="45">
        <f>IF(F11=0,0,F11/$F$12)</f>
        <v>3.7541089826923453E-2</v>
      </c>
      <c r="H11" s="117">
        <f>IF(B11+D11+F11=0,0,B11+D11+F11)</f>
        <v>153971.75500000009</v>
      </c>
      <c r="I11" s="45">
        <f>IF(H11=0,0,H11/$H$12)</f>
        <v>0.34256713633063951</v>
      </c>
    </row>
    <row r="12" spans="1:15" ht="18" customHeight="1" x14ac:dyDescent="0.2">
      <c r="A12" s="44" t="s">
        <v>16</v>
      </c>
      <c r="B12" s="47">
        <f>SUM(B10:B11)</f>
        <v>174942.54999999993</v>
      </c>
      <c r="C12" s="48"/>
      <c r="D12" s="47">
        <f>SUM(D10:D11)</f>
        <v>166200.9796940001</v>
      </c>
      <c r="E12" s="48"/>
      <c r="F12" s="47">
        <f>SUM(F10:F11)</f>
        <v>108320.936306</v>
      </c>
      <c r="G12" s="48"/>
      <c r="H12" s="47">
        <f>IF(H10+H11=0,0,H10+H11)</f>
        <v>449464.46600000001</v>
      </c>
      <c r="I12" s="49"/>
    </row>
    <row r="13" spans="1:15" ht="18" customHeight="1" x14ac:dyDescent="0.2">
      <c r="A13" s="111" t="str">
        <f>"As the above table shows, "&amp;TEXT(H10,"0,000")&amp; " MWh, or "&amp;TEXT(I10,"0.0%")&amp;" of UI's total load is served by electric suppliers"</f>
        <v>As the above table shows, 295,493 MWh, or 65.7% of UI's total load is served by electric suppliers</v>
      </c>
      <c r="H13" s="32"/>
      <c r="M13" s="116"/>
      <c r="O13" s="116"/>
    </row>
    <row r="14" spans="1:15" ht="18" customHeight="1" x14ac:dyDescent="0.25">
      <c r="A14" s="111" t="str">
        <f>"while "&amp;TEXT(H11,"0,000")&amp;" MHh, or "&amp;TEXT(I11,"0.0%")&amp;" of the load is provided under Standard Service or Last Resort service through UI."</f>
        <v>while 153,972 MHh, or 34.3%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15" ht="15" x14ac:dyDescent="0.25">
      <c r="G15" s="54"/>
      <c r="H15" s="32"/>
    </row>
    <row r="16" spans="1:15" ht="18" customHeight="1" x14ac:dyDescent="0.2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7" ht="18" customHeight="1" x14ac:dyDescent="0.25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  <c r="O17" s="113"/>
    </row>
    <row r="18" spans="1:17" ht="18" customHeight="1" x14ac:dyDescent="0.2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7" ht="18" customHeight="1" x14ac:dyDescent="0.2">
      <c r="A19" s="44" t="str">
        <f>A10</f>
        <v>Suppliers</v>
      </c>
      <c r="B19" s="75">
        <v>116824</v>
      </c>
      <c r="C19" s="45">
        <f>IF(B19=0,0,B19/$B$21)</f>
        <v>0.39466900896944307</v>
      </c>
      <c r="D19" s="75">
        <v>19150</v>
      </c>
      <c r="E19" s="58">
        <f>IF(D19=0,0,D19/$D$21)</f>
        <v>0.49478090119884249</v>
      </c>
      <c r="F19" s="75">
        <v>238</v>
      </c>
      <c r="G19" s="45">
        <f>IF(F19=0,0,F19/$F$21)</f>
        <v>0.92607003891050588</v>
      </c>
      <c r="H19" s="46">
        <f>IF(B19+D19+F19=0,0,B19+D19+F19)</f>
        <v>136212</v>
      </c>
      <c r="I19" s="45">
        <f>IF(H19=0,0,H19/$H$21)</f>
        <v>0.40664425643199609</v>
      </c>
      <c r="J19" s="59"/>
      <c r="M19" s="116"/>
    </row>
    <row r="20" spans="1:17" ht="18" customHeight="1" x14ac:dyDescent="0.2">
      <c r="A20" s="44" t="str">
        <f>A11</f>
        <v>UI</v>
      </c>
      <c r="B20" s="76">
        <v>179181</v>
      </c>
      <c r="C20" s="45">
        <f>IF(B20=0,0,B20/$B$21)</f>
        <v>0.60533099103055688</v>
      </c>
      <c r="D20" s="76">
        <v>19554</v>
      </c>
      <c r="E20" s="58">
        <f>IF(D20=0,0,D20/$D$21)</f>
        <v>0.50521909880115745</v>
      </c>
      <c r="F20" s="76">
        <v>19</v>
      </c>
      <c r="G20" s="45">
        <f>IF(F20=0,0,F20/$F$21)</f>
        <v>7.3929961089494164E-2</v>
      </c>
      <c r="H20" s="76">
        <f>IF(B20+D20+F20=0,0,B20+D20+F20)</f>
        <v>198754</v>
      </c>
      <c r="I20" s="45">
        <f>IF(H20=0,0,H20/$H$21)</f>
        <v>0.59335574356800391</v>
      </c>
    </row>
    <row r="21" spans="1:17" ht="18" customHeight="1" x14ac:dyDescent="0.2">
      <c r="A21" s="44" t="str">
        <f>A12</f>
        <v xml:space="preserve">     Total</v>
      </c>
      <c r="B21" s="47">
        <f>SUM(B19:B20)</f>
        <v>296005</v>
      </c>
      <c r="C21" s="60"/>
      <c r="D21" s="47">
        <f>SUM(D19:D20)</f>
        <v>38704</v>
      </c>
      <c r="E21" s="48"/>
      <c r="F21" s="47">
        <f>SUM(F19:F20)</f>
        <v>257</v>
      </c>
      <c r="G21" s="48"/>
      <c r="H21" s="47">
        <f>IF(H19+H20=0,0,H19+H20)</f>
        <v>334966</v>
      </c>
      <c r="I21" s="49"/>
      <c r="Q21" s="116"/>
    </row>
    <row r="22" spans="1:17" ht="18" customHeight="1" x14ac:dyDescent="0.25">
      <c r="G22" s="54"/>
      <c r="H22" s="32"/>
    </row>
    <row r="23" spans="1:17" ht="18" customHeight="1" x14ac:dyDescent="0.25">
      <c r="A23" s="111" t="str">
        <f>"As the above table shows, "&amp;TEXT(H19,"0,000")&amp; " of UI's total customers, or "&amp;TEXT(I19,"0.0%")&amp;" are served by electric suppliers"</f>
        <v>As the above table shows, 136,212 of UI's total customers, or 40.7% are served by electric suppliers</v>
      </c>
      <c r="G23" s="54"/>
      <c r="H23" s="32"/>
    </row>
    <row r="24" spans="1:17" ht="18" customHeight="1" x14ac:dyDescent="0.25">
      <c r="A24" s="111" t="str">
        <f>"while "&amp;TEXT(H20,"0,000")&amp;" or "&amp;TEXT(I20,"0.0%")&amp;" of the customers continue to receive Standard Service or Last Resort service through UI."</f>
        <v>while 198,754 or 59.3%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7" ht="18" customHeight="1" x14ac:dyDescent="0.25">
      <c r="B25" s="32"/>
      <c r="C25" s="32"/>
      <c r="D25" s="63"/>
      <c r="E25" s="63"/>
      <c r="F25" s="64"/>
      <c r="G25" s="64"/>
      <c r="H25" s="32"/>
    </row>
    <row r="27" spans="1:17" ht="13.5" x14ac:dyDescent="0.2">
      <c r="A27" s="71" t="s">
        <v>40</v>
      </c>
      <c r="I27" s="116"/>
    </row>
    <row r="28" spans="1:17" ht="13.5" x14ac:dyDescent="0.2">
      <c r="A28" s="71" t="s">
        <v>44</v>
      </c>
    </row>
    <row r="29" spans="1:17" ht="13.5" x14ac:dyDescent="0.2">
      <c r="A29" s="71" t="s">
        <v>79</v>
      </c>
    </row>
    <row r="30" spans="1:17" x14ac:dyDescent="0.2">
      <c r="A30" s="72" t="s">
        <v>30</v>
      </c>
    </row>
    <row r="31" spans="1:17" x14ac:dyDescent="0.2">
      <c r="A31" s="72" t="s">
        <v>36</v>
      </c>
    </row>
    <row r="34" spans="1:1" x14ac:dyDescent="0.2">
      <c r="A34" s="113" t="s">
        <v>106</v>
      </c>
    </row>
    <row r="35" spans="1:1" x14ac:dyDescent="0.2">
      <c r="A35" s="116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topLeftCell="A31" zoomScaleNormal="100" workbookViewId="0">
      <selection activeCell="G62" sqref="G62"/>
    </sheetView>
  </sheetViews>
  <sheetFormatPr defaultColWidth="9.140625" defaultRowHeight="12.75" x14ac:dyDescent="0.2"/>
  <cols>
    <col min="1" max="1" width="4.42578125" style="1" customWidth="1"/>
    <col min="2" max="2" width="40.28515625" style="1" bestFit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1" t="str">
        <f>'Summary Load Customers '!A5</f>
        <v>Data as of September 30,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">
      <c r="A5" s="18"/>
      <c r="B5" s="7"/>
      <c r="C5" s="19"/>
      <c r="D5" s="19"/>
      <c r="E5" s="13"/>
      <c r="F5" s="13"/>
    </row>
    <row r="6" spans="1:11" s="10" customFormat="1" ht="18" customHeight="1" x14ac:dyDescent="0.2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5.5" x14ac:dyDescent="0.2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 x14ac:dyDescent="0.2">
      <c r="A8" s="23">
        <v>1</v>
      </c>
      <c r="B8" s="24" t="s">
        <v>90</v>
      </c>
      <c r="C8" s="78">
        <v>405</v>
      </c>
      <c r="D8" s="78">
        <v>362</v>
      </c>
      <c r="E8" s="23">
        <f t="shared" ref="E8:E57" si="0">IF(SUM(C8:D8)=0,0,SUM(C8:D8))</f>
        <v>767</v>
      </c>
      <c r="F8" s="25">
        <f t="shared" ref="F8:F39" si="1">IF(E8=0,"",E8/$E$58)</f>
        <v>5.6309282588905525E-3</v>
      </c>
    </row>
    <row r="9" spans="1:11" ht="14.25" customHeight="1" x14ac:dyDescent="0.2">
      <c r="A9" s="23">
        <v>2</v>
      </c>
      <c r="B9" s="24" t="s">
        <v>89</v>
      </c>
      <c r="C9" s="78">
        <v>1045</v>
      </c>
      <c r="D9" s="78">
        <v>717</v>
      </c>
      <c r="E9" s="23">
        <f t="shared" si="0"/>
        <v>1762</v>
      </c>
      <c r="F9" s="25">
        <f t="shared" si="1"/>
        <v>1.2935717851584295E-2</v>
      </c>
    </row>
    <row r="10" spans="1:11" ht="14.25" customHeight="1" x14ac:dyDescent="0.2">
      <c r="A10" s="23">
        <v>3</v>
      </c>
      <c r="B10" s="24" t="s">
        <v>83</v>
      </c>
      <c r="C10" s="78">
        <v>5657</v>
      </c>
      <c r="D10" s="78">
        <v>596</v>
      </c>
      <c r="E10" s="23">
        <f t="shared" si="0"/>
        <v>6253</v>
      </c>
      <c r="F10" s="25">
        <f t="shared" si="1"/>
        <v>4.5906381229260274E-2</v>
      </c>
    </row>
    <row r="11" spans="1:11" ht="14.25" customHeight="1" x14ac:dyDescent="0.2">
      <c r="A11" s="23">
        <v>4</v>
      </c>
      <c r="B11" s="114" t="s">
        <v>95</v>
      </c>
      <c r="C11" s="78">
        <v>0</v>
      </c>
      <c r="D11" s="78">
        <v>0</v>
      </c>
      <c r="E11" s="23">
        <f t="shared" si="0"/>
        <v>0</v>
      </c>
      <c r="F11" s="25" t="str">
        <f t="shared" si="1"/>
        <v/>
      </c>
    </row>
    <row r="12" spans="1:11" ht="14.25" customHeight="1" x14ac:dyDescent="0.2">
      <c r="A12" s="23">
        <v>5</v>
      </c>
      <c r="B12" s="24" t="s">
        <v>54</v>
      </c>
      <c r="C12" s="78">
        <v>2125</v>
      </c>
      <c r="D12" s="78">
        <v>89</v>
      </c>
      <c r="E12" s="23">
        <f t="shared" si="0"/>
        <v>2214</v>
      </c>
      <c r="F12" s="25">
        <f t="shared" si="1"/>
        <v>1.6254074530878338E-2</v>
      </c>
    </row>
    <row r="13" spans="1:11" ht="14.25" customHeight="1" x14ac:dyDescent="0.2">
      <c r="A13" s="23">
        <v>6</v>
      </c>
      <c r="B13" s="24" t="s">
        <v>53</v>
      </c>
      <c r="C13" s="78">
        <v>0</v>
      </c>
      <c r="D13" s="78">
        <v>0</v>
      </c>
      <c r="E13" s="23">
        <f t="shared" si="0"/>
        <v>0</v>
      </c>
      <c r="F13" s="25" t="str">
        <f t="shared" si="1"/>
        <v/>
      </c>
    </row>
    <row r="14" spans="1:11" ht="14.25" customHeight="1" x14ac:dyDescent="0.2">
      <c r="A14" s="23">
        <v>7</v>
      </c>
      <c r="B14" s="24" t="s">
        <v>10</v>
      </c>
      <c r="C14" s="78">
        <v>1478</v>
      </c>
      <c r="D14" s="78">
        <v>17</v>
      </c>
      <c r="E14" s="23">
        <f t="shared" si="0"/>
        <v>1495</v>
      </c>
      <c r="F14" s="25">
        <f t="shared" si="1"/>
        <v>1.0975538131735824E-2</v>
      </c>
    </row>
    <row r="15" spans="1:11" ht="14.25" customHeight="1" x14ac:dyDescent="0.2">
      <c r="A15" s="23">
        <v>9</v>
      </c>
      <c r="B15" s="24" t="s">
        <v>12</v>
      </c>
      <c r="C15" s="78">
        <v>5811</v>
      </c>
      <c r="D15" s="78">
        <v>179</v>
      </c>
      <c r="E15" s="23">
        <f t="shared" si="0"/>
        <v>5990</v>
      </c>
      <c r="F15" s="25">
        <f t="shared" si="1"/>
        <v>4.3975567497724133E-2</v>
      </c>
    </row>
    <row r="16" spans="1:11" ht="14.25" customHeight="1" x14ac:dyDescent="0.2">
      <c r="A16" s="23">
        <v>8</v>
      </c>
      <c r="B16" s="114" t="s">
        <v>85</v>
      </c>
      <c r="C16" s="78">
        <v>6898</v>
      </c>
      <c r="D16" s="78">
        <v>1059</v>
      </c>
      <c r="E16" s="23">
        <f t="shared" si="0"/>
        <v>7957</v>
      </c>
      <c r="F16" s="25">
        <f t="shared" si="1"/>
        <v>5.8416292250315686E-2</v>
      </c>
    </row>
    <row r="17" spans="1:6" ht="14.25" customHeight="1" x14ac:dyDescent="0.2">
      <c r="A17" s="23">
        <v>10</v>
      </c>
      <c r="B17" s="24" t="s">
        <v>14</v>
      </c>
      <c r="C17" s="78">
        <v>278</v>
      </c>
      <c r="D17" s="78">
        <v>1280</v>
      </c>
      <c r="E17" s="23">
        <f t="shared" si="0"/>
        <v>1558</v>
      </c>
      <c r="F17" s="25">
        <f t="shared" si="1"/>
        <v>1.1438052447655125E-2</v>
      </c>
    </row>
    <row r="18" spans="1:6" ht="14.25" customHeight="1" x14ac:dyDescent="0.2">
      <c r="A18" s="23">
        <v>11</v>
      </c>
      <c r="B18" s="24" t="s">
        <v>82</v>
      </c>
      <c r="C18" s="78">
        <v>471</v>
      </c>
      <c r="D18" s="78">
        <v>187</v>
      </c>
      <c r="E18" s="23">
        <f t="shared" si="0"/>
        <v>658</v>
      </c>
      <c r="F18" s="25">
        <f t="shared" si="1"/>
        <v>4.8307050773793792E-3</v>
      </c>
    </row>
    <row r="19" spans="1:6" ht="14.25" customHeight="1" x14ac:dyDescent="0.2">
      <c r="A19" s="23">
        <v>12</v>
      </c>
      <c r="B19" s="114" t="s">
        <v>99</v>
      </c>
      <c r="C19" s="78">
        <v>30</v>
      </c>
      <c r="D19" s="78">
        <v>1162</v>
      </c>
      <c r="E19" s="23">
        <f t="shared" si="0"/>
        <v>1192</v>
      </c>
      <c r="F19" s="25">
        <f t="shared" si="1"/>
        <v>8.7510645170763221E-3</v>
      </c>
    </row>
    <row r="20" spans="1:6" ht="14.25" customHeight="1" x14ac:dyDescent="0.2">
      <c r="A20" s="23">
        <v>13</v>
      </c>
      <c r="B20" s="114" t="s">
        <v>100</v>
      </c>
      <c r="C20" s="78">
        <v>20885</v>
      </c>
      <c r="D20" s="78">
        <v>3134</v>
      </c>
      <c r="E20" s="23">
        <f t="shared" si="0"/>
        <v>24019</v>
      </c>
      <c r="F20" s="25">
        <f t="shared" si="1"/>
        <v>0.17633541831850352</v>
      </c>
    </row>
    <row r="21" spans="1:6" ht="14.25" customHeight="1" x14ac:dyDescent="0.2">
      <c r="A21" s="23">
        <v>14</v>
      </c>
      <c r="B21" s="79" t="s">
        <v>50</v>
      </c>
      <c r="C21" s="78">
        <v>4527</v>
      </c>
      <c r="D21" s="78">
        <v>524</v>
      </c>
      <c r="E21" s="23">
        <f t="shared" si="0"/>
        <v>5051</v>
      </c>
      <c r="F21" s="25">
        <f t="shared" si="1"/>
        <v>3.7081901741403106E-2</v>
      </c>
    </row>
    <row r="22" spans="1:6" ht="14.25" customHeight="1" x14ac:dyDescent="0.2">
      <c r="A22" s="23">
        <v>15</v>
      </c>
      <c r="B22" s="114" t="s">
        <v>92</v>
      </c>
      <c r="C22" s="78">
        <v>30</v>
      </c>
      <c r="D22" s="78">
        <v>2</v>
      </c>
      <c r="E22" s="23">
        <f t="shared" si="0"/>
        <v>32</v>
      </c>
      <c r="F22" s="25">
        <f t="shared" si="1"/>
        <v>2.349279064986932E-4</v>
      </c>
    </row>
    <row r="23" spans="1:6" ht="14.25" customHeight="1" x14ac:dyDescent="0.2">
      <c r="A23" s="23">
        <v>16</v>
      </c>
      <c r="B23" s="79" t="s">
        <v>46</v>
      </c>
      <c r="C23" s="78">
        <v>3767</v>
      </c>
      <c r="D23" s="78">
        <v>458</v>
      </c>
      <c r="E23" s="23">
        <f t="shared" si="0"/>
        <v>4225</v>
      </c>
      <c r="F23" s="25">
        <f t="shared" si="1"/>
        <v>3.1017825154905587E-2</v>
      </c>
    </row>
    <row r="24" spans="1:6" ht="14.25" customHeight="1" x14ac:dyDescent="0.2">
      <c r="A24" s="23">
        <v>17</v>
      </c>
      <c r="B24" s="24" t="s">
        <v>17</v>
      </c>
      <c r="C24" s="78">
        <v>367</v>
      </c>
      <c r="D24" s="78">
        <v>49</v>
      </c>
      <c r="E24" s="23">
        <f t="shared" si="0"/>
        <v>416</v>
      </c>
      <c r="F24" s="25">
        <f t="shared" si="1"/>
        <v>3.0540627844830117E-3</v>
      </c>
    </row>
    <row r="25" spans="1:6" ht="14.25" customHeight="1" x14ac:dyDescent="0.2">
      <c r="A25" s="23">
        <v>18</v>
      </c>
      <c r="B25" s="24" t="s">
        <v>61</v>
      </c>
      <c r="C25" s="78">
        <v>1693</v>
      </c>
      <c r="D25" s="78">
        <v>223</v>
      </c>
      <c r="E25" s="23">
        <f t="shared" si="0"/>
        <v>1916</v>
      </c>
      <c r="F25" s="25">
        <f t="shared" si="1"/>
        <v>1.4066308401609256E-2</v>
      </c>
    </row>
    <row r="26" spans="1:6" ht="14.25" customHeight="1" x14ac:dyDescent="0.2">
      <c r="A26" s="23">
        <v>19</v>
      </c>
      <c r="B26" s="24" t="s">
        <v>18</v>
      </c>
      <c r="C26" s="78">
        <v>0</v>
      </c>
      <c r="D26" s="78">
        <v>0</v>
      </c>
      <c r="E26" s="23">
        <f t="shared" si="0"/>
        <v>0</v>
      </c>
      <c r="F26" s="25" t="str">
        <f t="shared" si="1"/>
        <v/>
      </c>
    </row>
    <row r="27" spans="1:6" ht="14.25" customHeight="1" x14ac:dyDescent="0.2">
      <c r="A27" s="23">
        <v>20</v>
      </c>
      <c r="B27" s="114" t="s">
        <v>103</v>
      </c>
      <c r="C27" s="78">
        <v>34</v>
      </c>
      <c r="D27" s="78">
        <v>135</v>
      </c>
      <c r="E27" s="23">
        <f t="shared" ref="E27" si="2">IF(SUM(C27:D27)=0,0,SUM(C27:D27))</f>
        <v>169</v>
      </c>
      <c r="F27" s="25">
        <f t="shared" si="1"/>
        <v>1.2407130061962235E-3</v>
      </c>
    </row>
    <row r="28" spans="1:6" ht="14.25" customHeight="1" x14ac:dyDescent="0.2">
      <c r="A28" s="23">
        <v>21</v>
      </c>
      <c r="B28" s="24" t="s">
        <v>91</v>
      </c>
      <c r="C28" s="78">
        <v>1370</v>
      </c>
      <c r="D28" s="78">
        <v>8</v>
      </c>
      <c r="E28" s="23">
        <f t="shared" si="0"/>
        <v>1378</v>
      </c>
      <c r="F28" s="25">
        <f t="shared" si="1"/>
        <v>1.0116582973599976E-2</v>
      </c>
    </row>
    <row r="29" spans="1:6" ht="14.25" customHeight="1" x14ac:dyDescent="0.2">
      <c r="A29" s="23">
        <v>22</v>
      </c>
      <c r="B29" s="24" t="s">
        <v>60</v>
      </c>
      <c r="C29" s="78">
        <v>669</v>
      </c>
      <c r="D29" s="78">
        <v>31</v>
      </c>
      <c r="E29" s="23">
        <f t="shared" si="0"/>
        <v>700</v>
      </c>
      <c r="F29" s="25">
        <f t="shared" si="1"/>
        <v>5.1390479546589143E-3</v>
      </c>
    </row>
    <row r="30" spans="1:6" ht="14.25" customHeight="1" x14ac:dyDescent="0.2">
      <c r="A30" s="23">
        <v>23</v>
      </c>
      <c r="B30" s="24" t="s">
        <v>77</v>
      </c>
      <c r="C30" s="78">
        <v>2</v>
      </c>
      <c r="D30" s="78">
        <v>0</v>
      </c>
      <c r="E30" s="23">
        <f t="shared" si="0"/>
        <v>2</v>
      </c>
      <c r="F30" s="25">
        <f t="shared" si="1"/>
        <v>1.4682994156168325E-5</v>
      </c>
    </row>
    <row r="31" spans="1:6" ht="14.25" customHeight="1" x14ac:dyDescent="0.2">
      <c r="A31" s="23">
        <v>24</v>
      </c>
      <c r="B31" s="114" t="s">
        <v>19</v>
      </c>
      <c r="C31" s="78">
        <v>224</v>
      </c>
      <c r="D31" s="78">
        <v>1015</v>
      </c>
      <c r="E31" s="23">
        <f t="shared" si="0"/>
        <v>1239</v>
      </c>
      <c r="F31" s="25">
        <f t="shared" si="1"/>
        <v>9.0961148797462782E-3</v>
      </c>
    </row>
    <row r="32" spans="1:6" ht="14.25" customHeight="1" x14ac:dyDescent="0.2">
      <c r="A32" s="23">
        <v>25</v>
      </c>
      <c r="B32" s="24" t="s">
        <v>20</v>
      </c>
      <c r="C32" s="78">
        <v>0</v>
      </c>
      <c r="D32" s="78">
        <v>0</v>
      </c>
      <c r="E32" s="23">
        <f t="shared" si="0"/>
        <v>0</v>
      </c>
      <c r="F32" s="25" t="str">
        <f t="shared" si="1"/>
        <v/>
      </c>
    </row>
    <row r="33" spans="1:6" ht="14.25" customHeight="1" x14ac:dyDescent="0.2">
      <c r="A33" s="23">
        <v>26</v>
      </c>
      <c r="B33" s="24" t="s">
        <v>21</v>
      </c>
      <c r="C33" s="78">
        <v>296</v>
      </c>
      <c r="D33" s="78">
        <v>587</v>
      </c>
      <c r="E33" s="23">
        <f t="shared" si="0"/>
        <v>883</v>
      </c>
      <c r="F33" s="25">
        <f t="shared" si="1"/>
        <v>6.482541919948316E-3</v>
      </c>
    </row>
    <row r="34" spans="1:6" ht="14.25" customHeight="1" x14ac:dyDescent="0.2">
      <c r="A34" s="23">
        <v>27</v>
      </c>
      <c r="B34" s="114" t="s">
        <v>96</v>
      </c>
      <c r="C34" s="78">
        <v>1</v>
      </c>
      <c r="D34" s="78">
        <v>12</v>
      </c>
      <c r="E34" s="23">
        <f t="shared" si="0"/>
        <v>13</v>
      </c>
      <c r="F34" s="25">
        <f t="shared" si="1"/>
        <v>9.5439462015094116E-5</v>
      </c>
    </row>
    <row r="35" spans="1:6" ht="14.25" customHeight="1" x14ac:dyDescent="0.2">
      <c r="A35" s="23">
        <v>28</v>
      </c>
      <c r="B35" s="24" t="s">
        <v>78</v>
      </c>
      <c r="C35" s="78">
        <v>0</v>
      </c>
      <c r="D35" s="78">
        <v>26</v>
      </c>
      <c r="E35" s="23">
        <f t="shared" si="0"/>
        <v>26</v>
      </c>
      <c r="F35" s="25">
        <f t="shared" si="1"/>
        <v>1.9087892403018823E-4</v>
      </c>
    </row>
    <row r="36" spans="1:6" ht="14.25" customHeight="1" x14ac:dyDescent="0.2">
      <c r="A36" s="23">
        <v>29</v>
      </c>
      <c r="B36" s="114" t="s">
        <v>94</v>
      </c>
      <c r="C36" s="78">
        <v>178</v>
      </c>
      <c r="D36" s="78">
        <v>533</v>
      </c>
      <c r="E36" s="23">
        <f t="shared" si="0"/>
        <v>711</v>
      </c>
      <c r="F36" s="25">
        <f t="shared" si="1"/>
        <v>5.2198044225178399E-3</v>
      </c>
    </row>
    <row r="37" spans="1:6" ht="14.25" customHeight="1" x14ac:dyDescent="0.2">
      <c r="A37" s="23">
        <v>30</v>
      </c>
      <c r="B37" s="114" t="s">
        <v>93</v>
      </c>
      <c r="C37" s="78">
        <v>19</v>
      </c>
      <c r="D37" s="78">
        <v>2139</v>
      </c>
      <c r="E37" s="23">
        <f t="shared" si="0"/>
        <v>2158</v>
      </c>
      <c r="F37" s="25">
        <f t="shared" si="1"/>
        <v>1.5842950694505625E-2</v>
      </c>
    </row>
    <row r="38" spans="1:6" ht="14.25" customHeight="1" x14ac:dyDescent="0.2">
      <c r="A38" s="23">
        <v>31</v>
      </c>
      <c r="B38" s="24" t="s">
        <v>51</v>
      </c>
      <c r="C38" s="78">
        <v>13011</v>
      </c>
      <c r="D38" s="78">
        <v>581</v>
      </c>
      <c r="E38" s="23">
        <f t="shared" si="0"/>
        <v>13592</v>
      </c>
      <c r="F38" s="25">
        <f t="shared" si="1"/>
        <v>9.9785628285319936E-2</v>
      </c>
    </row>
    <row r="39" spans="1:6" ht="14.25" customHeight="1" x14ac:dyDescent="0.2">
      <c r="A39" s="23">
        <v>32</v>
      </c>
      <c r="B39" s="24" t="s">
        <v>59</v>
      </c>
      <c r="C39" s="78">
        <v>2107</v>
      </c>
      <c r="D39" s="78">
        <v>42</v>
      </c>
      <c r="E39" s="23">
        <f t="shared" si="0"/>
        <v>2149</v>
      </c>
      <c r="F39" s="25">
        <f t="shared" si="1"/>
        <v>1.5776877220802867E-2</v>
      </c>
    </row>
    <row r="40" spans="1:6" ht="14.25" customHeight="1" x14ac:dyDescent="0.2">
      <c r="A40" s="23">
        <v>33</v>
      </c>
      <c r="B40" s="114" t="s">
        <v>97</v>
      </c>
      <c r="C40" s="78">
        <v>0</v>
      </c>
      <c r="D40" s="78">
        <v>0</v>
      </c>
      <c r="E40" s="23">
        <f t="shared" si="0"/>
        <v>0</v>
      </c>
      <c r="F40" s="25" t="str">
        <f t="shared" ref="F40:F57" si="3">IF(E40=0,"",E40/$E$58)</f>
        <v/>
      </c>
    </row>
    <row r="41" spans="1:6" ht="14.25" customHeight="1" x14ac:dyDescent="0.2">
      <c r="A41" s="23">
        <v>34</v>
      </c>
      <c r="B41" s="114" t="s">
        <v>87</v>
      </c>
      <c r="C41" s="78">
        <v>540</v>
      </c>
      <c r="D41" s="78">
        <v>16</v>
      </c>
      <c r="E41" s="23">
        <f t="shared" si="0"/>
        <v>556</v>
      </c>
      <c r="F41" s="25">
        <f t="shared" si="3"/>
        <v>4.081872375414795E-3</v>
      </c>
    </row>
    <row r="42" spans="1:6" ht="14.25" customHeight="1" x14ac:dyDescent="0.2">
      <c r="A42" s="23">
        <v>35</v>
      </c>
      <c r="B42" s="24" t="s">
        <v>23</v>
      </c>
      <c r="C42" s="78">
        <v>11169</v>
      </c>
      <c r="D42" s="78">
        <v>909</v>
      </c>
      <c r="E42" s="23">
        <f t="shared" si="0"/>
        <v>12078</v>
      </c>
      <c r="F42" s="25">
        <f t="shared" si="3"/>
        <v>8.8670601709100516E-2</v>
      </c>
    </row>
    <row r="43" spans="1:6" ht="14.25" customHeight="1" x14ac:dyDescent="0.2">
      <c r="A43" s="23">
        <v>36</v>
      </c>
      <c r="B43" s="24" t="s">
        <v>56</v>
      </c>
      <c r="C43" s="78">
        <v>0</v>
      </c>
      <c r="D43" s="78">
        <v>0</v>
      </c>
      <c r="E43" s="23">
        <f t="shared" si="0"/>
        <v>0</v>
      </c>
      <c r="F43" s="25" t="str">
        <f t="shared" si="3"/>
        <v/>
      </c>
    </row>
    <row r="44" spans="1:6" ht="14.25" customHeight="1" x14ac:dyDescent="0.2">
      <c r="A44" s="23">
        <v>37</v>
      </c>
      <c r="B44" s="114" t="s">
        <v>88</v>
      </c>
      <c r="C44" s="78">
        <v>9340</v>
      </c>
      <c r="D44" s="78">
        <v>1060</v>
      </c>
      <c r="E44" s="23">
        <f t="shared" si="0"/>
        <v>10400</v>
      </c>
      <c r="F44" s="25">
        <f t="shared" si="3"/>
        <v>7.6351569612075301E-2</v>
      </c>
    </row>
    <row r="45" spans="1:6" x14ac:dyDescent="0.2">
      <c r="A45" s="23">
        <v>38</v>
      </c>
      <c r="B45" s="81" t="s">
        <v>49</v>
      </c>
      <c r="C45" s="78">
        <v>0</v>
      </c>
      <c r="D45" s="78">
        <v>0</v>
      </c>
      <c r="E45" s="23">
        <f t="shared" si="0"/>
        <v>0</v>
      </c>
      <c r="F45" s="25" t="str">
        <f t="shared" si="3"/>
        <v/>
      </c>
    </row>
    <row r="46" spans="1:6" x14ac:dyDescent="0.2">
      <c r="A46" s="23">
        <v>39</v>
      </c>
      <c r="B46" s="24" t="s">
        <v>55</v>
      </c>
      <c r="C46" s="78">
        <v>0</v>
      </c>
      <c r="D46" s="78">
        <v>0</v>
      </c>
      <c r="E46" s="23">
        <f t="shared" si="0"/>
        <v>0</v>
      </c>
      <c r="F46" s="25" t="str">
        <f t="shared" si="3"/>
        <v/>
      </c>
    </row>
    <row r="47" spans="1:6" x14ac:dyDescent="0.2">
      <c r="A47" s="23">
        <v>40</v>
      </c>
      <c r="B47" s="24" t="s">
        <v>58</v>
      </c>
      <c r="C47" s="78">
        <v>2317</v>
      </c>
      <c r="D47" s="78">
        <v>98</v>
      </c>
      <c r="E47" s="23">
        <f t="shared" si="0"/>
        <v>2415</v>
      </c>
      <c r="F47" s="25">
        <f t="shared" si="3"/>
        <v>1.7729715443573255E-2</v>
      </c>
    </row>
    <row r="48" spans="1:6" x14ac:dyDescent="0.2">
      <c r="A48" s="23">
        <v>41</v>
      </c>
      <c r="B48" s="24" t="s">
        <v>52</v>
      </c>
      <c r="C48" s="78">
        <v>3708</v>
      </c>
      <c r="D48" s="78">
        <v>312</v>
      </c>
      <c r="E48" s="23">
        <f t="shared" si="0"/>
        <v>4020</v>
      </c>
      <c r="F48" s="25">
        <f t="shared" si="3"/>
        <v>2.9512818253898336E-2</v>
      </c>
    </row>
    <row r="49" spans="1:6" x14ac:dyDescent="0.2">
      <c r="A49" s="23">
        <v>42</v>
      </c>
      <c r="B49" s="114" t="s">
        <v>24</v>
      </c>
      <c r="C49" s="78">
        <v>3</v>
      </c>
      <c r="D49" s="78">
        <v>362</v>
      </c>
      <c r="E49" s="23">
        <f t="shared" si="0"/>
        <v>365</v>
      </c>
      <c r="F49" s="25">
        <f t="shared" si="3"/>
        <v>2.6796464335007196E-3</v>
      </c>
    </row>
    <row r="50" spans="1:6" x14ac:dyDescent="0.2">
      <c r="A50" s="23">
        <v>43</v>
      </c>
      <c r="B50" s="24" t="s">
        <v>104</v>
      </c>
      <c r="C50" s="78">
        <v>3644</v>
      </c>
      <c r="D50" s="78">
        <v>148</v>
      </c>
      <c r="E50" s="23">
        <f t="shared" si="0"/>
        <v>3792</v>
      </c>
      <c r="F50" s="25">
        <f t="shared" si="3"/>
        <v>2.7838956920095147E-2</v>
      </c>
    </row>
    <row r="51" spans="1:6" x14ac:dyDescent="0.2">
      <c r="A51" s="23">
        <v>44</v>
      </c>
      <c r="B51" s="24" t="s">
        <v>84</v>
      </c>
      <c r="C51" s="78"/>
      <c r="D51" s="78">
        <v>15</v>
      </c>
      <c r="E51" s="23">
        <f t="shared" si="0"/>
        <v>15</v>
      </c>
      <c r="F51" s="25">
        <f t="shared" si="3"/>
        <v>1.1012245617126244E-4</v>
      </c>
    </row>
    <row r="52" spans="1:6" x14ac:dyDescent="0.2">
      <c r="A52" s="23">
        <v>45</v>
      </c>
      <c r="B52" s="24" t="s">
        <v>86</v>
      </c>
      <c r="C52" s="78">
        <v>1942</v>
      </c>
      <c r="D52" s="78">
        <v>41</v>
      </c>
      <c r="E52" s="23">
        <f t="shared" si="0"/>
        <v>1983</v>
      </c>
      <c r="F52" s="25">
        <f t="shared" si="3"/>
        <v>1.4558188705840896E-2</v>
      </c>
    </row>
    <row r="53" spans="1:6" x14ac:dyDescent="0.2">
      <c r="A53" s="23">
        <v>46</v>
      </c>
      <c r="B53" s="24" t="s">
        <v>25</v>
      </c>
      <c r="C53" s="78">
        <v>3</v>
      </c>
      <c r="D53" s="78">
        <v>516</v>
      </c>
      <c r="E53" s="23">
        <f t="shared" si="0"/>
        <v>519</v>
      </c>
      <c r="F53" s="25">
        <f t="shared" si="3"/>
        <v>3.8102369835256804E-3</v>
      </c>
    </row>
    <row r="54" spans="1:6" x14ac:dyDescent="0.2">
      <c r="A54" s="23">
        <v>47</v>
      </c>
      <c r="B54" s="24" t="s">
        <v>81</v>
      </c>
      <c r="C54" s="78">
        <v>0</v>
      </c>
      <c r="D54" s="78">
        <v>0</v>
      </c>
      <c r="E54" s="23">
        <f t="shared" si="0"/>
        <v>0</v>
      </c>
      <c r="F54" s="25" t="str">
        <f t="shared" si="3"/>
        <v/>
      </c>
    </row>
    <row r="55" spans="1:6" x14ac:dyDescent="0.2">
      <c r="A55" s="23">
        <v>48</v>
      </c>
      <c r="B55" s="79" t="s">
        <v>48</v>
      </c>
      <c r="C55" s="78">
        <v>7130</v>
      </c>
      <c r="D55" s="78">
        <v>245</v>
      </c>
      <c r="E55" s="23">
        <f t="shared" si="0"/>
        <v>7375</v>
      </c>
      <c r="F55" s="25">
        <f t="shared" si="3"/>
        <v>5.4143540950870699E-2</v>
      </c>
    </row>
    <row r="56" spans="1:6" x14ac:dyDescent="0.2">
      <c r="A56" s="23">
        <v>49</v>
      </c>
      <c r="B56" s="79" t="s">
        <v>47</v>
      </c>
      <c r="C56" s="78">
        <v>2589</v>
      </c>
      <c r="D56" s="78">
        <v>371</v>
      </c>
      <c r="E56" s="23">
        <f t="shared" si="0"/>
        <v>2960</v>
      </c>
      <c r="F56" s="25">
        <f t="shared" si="3"/>
        <v>2.1730831351129121E-2</v>
      </c>
    </row>
    <row r="57" spans="1:6" ht="13.5" thickBot="1" x14ac:dyDescent="0.25">
      <c r="A57" s="23">
        <v>50</v>
      </c>
      <c r="B57" s="112" t="s">
        <v>80</v>
      </c>
      <c r="C57" s="78">
        <v>1061</v>
      </c>
      <c r="D57" s="78">
        <v>148</v>
      </c>
      <c r="E57" s="73">
        <f t="shared" si="0"/>
        <v>1209</v>
      </c>
      <c r="F57" s="80">
        <f t="shared" si="3"/>
        <v>8.8758699674037524E-3</v>
      </c>
    </row>
    <row r="58" spans="1:6" ht="13.5" thickTop="1" x14ac:dyDescent="0.2">
      <c r="A58" s="12"/>
      <c r="B58" s="6" t="s">
        <v>26</v>
      </c>
      <c r="C58" s="74">
        <f>IF(SUM(C8:C57)=0,0,SUM(C8:C57))</f>
        <v>116824</v>
      </c>
      <c r="D58" s="74">
        <f>IF(SUM(D8:D57)=0,0,SUM(D8:D57))</f>
        <v>19388</v>
      </c>
      <c r="E58" s="74">
        <f>IF(SUM(E8:E57)=0,0,SUM(E8:E57))</f>
        <v>136212</v>
      </c>
      <c r="F58" s="82">
        <f>IF($E$58=0,0,E58/$E$58)</f>
        <v>1</v>
      </c>
    </row>
    <row r="59" spans="1:6" x14ac:dyDescent="0.2">
      <c r="A59" s="2" t="s">
        <v>30</v>
      </c>
      <c r="B59" s="19"/>
      <c r="C59" s="19"/>
      <c r="D59" s="19"/>
      <c r="E59" s="19"/>
    </row>
    <row r="60" spans="1:6" x14ac:dyDescent="0.2">
      <c r="A60" s="2" t="s">
        <v>34</v>
      </c>
      <c r="D60" s="19"/>
      <c r="E60" s="19"/>
    </row>
    <row r="61" spans="1:6" x14ac:dyDescent="0.2">
      <c r="A61" s="2" t="s">
        <v>35</v>
      </c>
      <c r="C61" s="12"/>
      <c r="D61" s="12"/>
      <c r="E61" s="12"/>
    </row>
    <row r="62" spans="1:6" x14ac:dyDescent="0.2">
      <c r="C62" s="12"/>
      <c r="D62" s="12"/>
      <c r="E62" s="12"/>
    </row>
    <row r="63" spans="1:6" x14ac:dyDescent="0.2">
      <c r="B63" s="115" t="str">
        <f>'Summary Load Customers '!A34</f>
        <v>Dated 10/17/2014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zoomScaleNormal="100" zoomScalePageLayoutView="70" workbookViewId="0">
      <selection activeCell="E5" sqref="E5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">
      <c r="A5" s="11" t="str">
        <f>'Summary Load Customers '!A5</f>
        <v>Data as of September 30, 2014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25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3">
      <c r="B8" s="32"/>
      <c r="C8" s="32"/>
      <c r="D8" s="63"/>
      <c r="E8" s="63"/>
      <c r="F8" s="70"/>
      <c r="G8" s="70"/>
      <c r="H8" s="32"/>
    </row>
    <row r="9" spans="1:9" ht="18" customHeight="1" x14ac:dyDescent="0.2">
      <c r="A9" s="33" t="s">
        <v>101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 x14ac:dyDescent="0.2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 x14ac:dyDescent="0.2">
      <c r="A12" s="44" t="s">
        <v>71</v>
      </c>
      <c r="B12" s="47">
        <f>REC_programs_detail!B22</f>
        <v>4776</v>
      </c>
      <c r="C12" s="48">
        <f>IF(B12=0,0,B12/'Summary Load Customers '!$B$21)</f>
        <v>1.6134862586780627E-2</v>
      </c>
      <c r="D12" s="47">
        <f>REC_programs_detail!C22</f>
        <v>48</v>
      </c>
      <c r="E12" s="48">
        <f>IF(D12=0,0,D12/('Summary Load Customers '!$D$21+'Summary Load Customers '!$F$21))</f>
        <v>1.232001232001232E-3</v>
      </c>
      <c r="F12" s="47">
        <f>B12+D12</f>
        <v>4824</v>
      </c>
      <c r="G12" s="48">
        <f>IF(F12=0,0,F12/'Summary Load Customers '!$H$21)</f>
        <v>1.4401461640882955E-2</v>
      </c>
    </row>
    <row r="13" spans="1:9" ht="15.75" customHeight="1" x14ac:dyDescent="0.25">
      <c r="G13" s="54"/>
      <c r="H13" s="32"/>
    </row>
    <row r="14" spans="1:9" ht="15.75" customHeight="1" x14ac:dyDescent="0.25">
      <c r="A14" s="111" t="str">
        <f>"As the above table shows, "&amp;TEXT(F12,"0,000")&amp;" of UI's customers, or "&amp;TEXT(G12,"0.0%")&amp;" are participating in the CTCleanEnergyOptions Program."</f>
        <v>As the above table shows, 4,824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 x14ac:dyDescent="0.2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 x14ac:dyDescent="0.2">
      <c r="A19" s="44" t="s">
        <v>72</v>
      </c>
      <c r="B19" s="47">
        <f>REC_programs_detail!B28</f>
        <v>875</v>
      </c>
      <c r="C19" s="48">
        <f>IF(B19=0,0,B19/'Summary Load Customers '!$B$21)</f>
        <v>2.9560311481224978E-3</v>
      </c>
      <c r="D19" s="47">
        <f>REC_programs_detail!C28</f>
        <v>65</v>
      </c>
      <c r="E19" s="48">
        <f>IF(D19=0,0,D19/('Summary Load Customers '!$D$21+'Summary Load Customers '!$F$21))</f>
        <v>1.6683350016683349E-3</v>
      </c>
      <c r="F19" s="47">
        <f>B19+D19</f>
        <v>940</v>
      </c>
      <c r="G19" s="48">
        <f>IF(F19=0,0,F19/'Summary Load Customers '!$H$21)</f>
        <v>2.8062549631902938E-3</v>
      </c>
    </row>
    <row r="20" spans="1:9" ht="18" customHeight="1" x14ac:dyDescent="0.2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">
      <c r="A21" s="111" t="str">
        <f>"As the above table shows, "&amp;TEXT(F19,"0,000")&amp;" of UI's customers, or "&amp;TEXT(G19,"0.0%")&amp;" are participating in the REC only program."</f>
        <v>As the above table shows, 0,940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4.25" x14ac:dyDescent="0.2">
      <c r="A22" s="50"/>
    </row>
    <row r="23" spans="1:9" ht="15" x14ac:dyDescent="0.2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5" x14ac:dyDescent="0.2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5" x14ac:dyDescent="0.2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4.25" x14ac:dyDescent="0.2">
      <c r="A26" s="44" t="s">
        <v>73</v>
      </c>
      <c r="B26" s="47">
        <f>B12+B19</f>
        <v>5651</v>
      </c>
      <c r="C26" s="48">
        <f>IF(B26=0,0,B26/'Summary Load Customers '!$B$21)</f>
        <v>1.9090893734903126E-2</v>
      </c>
      <c r="D26" s="47">
        <f>D12+D19</f>
        <v>113</v>
      </c>
      <c r="E26" s="48">
        <f>IF(D26=0,0,D26/('Summary Load Customers '!$D$21+'Summary Load Customers '!$F$21))</f>
        <v>2.9003362336695671E-3</v>
      </c>
      <c r="F26" s="47">
        <f>B26+D26</f>
        <v>5764</v>
      </c>
      <c r="G26" s="48">
        <f>IF(F26=0,0,F26/'Summary Load Customers '!$H$21)</f>
        <v>1.7207716604073248E-2</v>
      </c>
    </row>
    <row r="27" spans="1:9" ht="15" x14ac:dyDescent="0.25">
      <c r="G27" s="54"/>
      <c r="H27" s="32"/>
    </row>
    <row r="28" spans="1:9" ht="15" x14ac:dyDescent="0.25">
      <c r="A28" s="111" t="str">
        <f>"As the above table shows, "&amp;TEXT(F26,"0,000")&amp;" of UI's customers, or "&amp;TEXT(G26,"0.0%")&amp;" are participating in the combined REC programs."</f>
        <v>As the above table shows, 5,764 of UI's customers, or 1.7% are participating in the combined REC programs.</v>
      </c>
      <c r="G28" s="54"/>
      <c r="H28" s="32"/>
    </row>
    <row r="30" spans="1:9" ht="13.5" x14ac:dyDescent="0.2">
      <c r="A30" s="71" t="s">
        <v>44</v>
      </c>
    </row>
    <row r="31" spans="1:9" ht="13.5" x14ac:dyDescent="0.2">
      <c r="A31" s="71"/>
    </row>
    <row r="32" spans="1:9" ht="13.5" x14ac:dyDescent="0.2">
      <c r="A32" s="71" t="s">
        <v>102</v>
      </c>
    </row>
    <row r="33" spans="1:1" x14ac:dyDescent="0.2">
      <c r="A33" s="72" t="s">
        <v>98</v>
      </c>
    </row>
    <row r="35" spans="1:1" x14ac:dyDescent="0.2">
      <c r="A35" s="72" t="s">
        <v>30</v>
      </c>
    </row>
    <row r="37" spans="1:1" x14ac:dyDescent="0.2">
      <c r="A37" s="3" t="str">
        <f>'Summary Load Customers '!A34</f>
        <v>Dated 10/17/2014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38" sqref="A38"/>
    </sheetView>
  </sheetViews>
  <sheetFormatPr defaultColWidth="9.140625" defaultRowHeight="11.25" x14ac:dyDescent="0.2"/>
  <cols>
    <col min="1" max="1" width="28" style="86" customWidth="1"/>
    <col min="2" max="3" width="19.140625" style="86" customWidth="1"/>
    <col min="4" max="4" width="20.28515625" style="86" customWidth="1"/>
    <col min="5" max="5" width="7.140625" style="86" customWidth="1"/>
    <col min="6" max="6" width="23.28515625" style="86" bestFit="1" customWidth="1"/>
    <col min="7" max="7" width="10.42578125" style="86" customWidth="1"/>
    <col min="8" max="16384" width="9.140625" style="86"/>
  </cols>
  <sheetData>
    <row r="1" spans="1:8" s="85" customFormat="1" ht="15" customHeight="1" x14ac:dyDescent="0.2">
      <c r="A1" s="118" t="str">
        <f>'Summary Load Customers '!A1</f>
        <v>The United Illuminating Company</v>
      </c>
      <c r="B1" s="118"/>
      <c r="C1" s="118"/>
      <c r="D1" s="118"/>
      <c r="E1" s="83"/>
      <c r="F1" s="83"/>
      <c r="G1" s="84"/>
    </row>
    <row r="2" spans="1:8" s="85" customFormat="1" ht="15" customHeight="1" x14ac:dyDescent="0.2">
      <c r="A2" s="118" t="s">
        <v>62</v>
      </c>
      <c r="B2" s="118"/>
      <c r="C2" s="118"/>
      <c r="D2" s="118"/>
      <c r="E2" s="83"/>
      <c r="F2" s="83"/>
      <c r="G2" s="84"/>
    </row>
    <row r="3" spans="1:8" s="85" customFormat="1" ht="15" customHeight="1" x14ac:dyDescent="0.2">
      <c r="A3" s="118" t="s">
        <v>2</v>
      </c>
      <c r="B3" s="118"/>
      <c r="C3" s="118"/>
      <c r="D3" s="118"/>
      <c r="E3" s="83"/>
      <c r="F3" s="83"/>
      <c r="G3" s="84"/>
    </row>
    <row r="4" spans="1:8" s="85" customFormat="1" ht="15" customHeight="1" x14ac:dyDescent="0.2">
      <c r="A4" s="118" t="str">
        <f>'Summary Load Customers '!A5</f>
        <v>Data as of September 30, 2014</v>
      </c>
      <c r="B4" s="118"/>
      <c r="C4" s="118"/>
      <c r="D4" s="118"/>
      <c r="E4" s="83"/>
      <c r="F4" s="83"/>
      <c r="G4" s="84"/>
    </row>
    <row r="5" spans="1:8" x14ac:dyDescent="0.2">
      <c r="C5" s="87"/>
      <c r="D5" s="87"/>
      <c r="E5" s="87"/>
      <c r="F5" s="87"/>
      <c r="G5" s="87"/>
    </row>
    <row r="6" spans="1:8" s="93" customFormat="1" ht="22.5" x14ac:dyDescent="0.2">
      <c r="A6" s="88" t="s">
        <v>64</v>
      </c>
      <c r="B6" s="89" t="s">
        <v>5</v>
      </c>
      <c r="C6" s="88" t="s">
        <v>6</v>
      </c>
      <c r="D6" s="88" t="s">
        <v>45</v>
      </c>
      <c r="E6" s="90"/>
      <c r="F6" s="90"/>
      <c r="G6" s="91"/>
      <c r="H6" s="92"/>
    </row>
    <row r="7" spans="1:8" x14ac:dyDescent="0.2">
      <c r="A7" s="94" t="s">
        <v>63</v>
      </c>
      <c r="B7" s="95"/>
      <c r="C7" s="96"/>
      <c r="D7" s="97">
        <f>IF(C7=0,0,C7)</f>
        <v>0</v>
      </c>
      <c r="E7" s="87"/>
      <c r="F7" s="87"/>
      <c r="G7" s="98"/>
      <c r="H7" s="87"/>
    </row>
    <row r="8" spans="1:8" x14ac:dyDescent="0.2">
      <c r="A8" s="94" t="s">
        <v>27</v>
      </c>
      <c r="B8" s="96">
        <v>191</v>
      </c>
      <c r="C8" s="96">
        <v>2</v>
      </c>
      <c r="D8" s="97">
        <f>SUM(B8:C8)</f>
        <v>193</v>
      </c>
      <c r="E8" s="99"/>
      <c r="F8" s="99"/>
      <c r="G8" s="98"/>
      <c r="H8" s="87"/>
    </row>
    <row r="9" spans="1:8" x14ac:dyDescent="0.2">
      <c r="A9" s="94" t="s">
        <v>28</v>
      </c>
      <c r="B9" s="96">
        <v>3828</v>
      </c>
      <c r="C9" s="96">
        <v>44</v>
      </c>
      <c r="D9" s="97">
        <f>SUM(B9:C9)</f>
        <v>3872</v>
      </c>
      <c r="E9" s="100"/>
      <c r="F9" s="101"/>
      <c r="G9" s="98"/>
      <c r="H9" s="87"/>
    </row>
    <row r="10" spans="1:8" x14ac:dyDescent="0.2">
      <c r="A10" s="102" t="s">
        <v>7</v>
      </c>
      <c r="B10" s="103">
        <f>IF(B8+B9=0,0,B8+B9)</f>
        <v>4019</v>
      </c>
      <c r="C10" s="103">
        <f>IF(SUM(C7:C9)=0,0,SUM(C7:C9))</f>
        <v>46</v>
      </c>
      <c r="D10" s="103">
        <f>IF(SUM(D7:D9)=0,0,SUM(D7:D9))</f>
        <v>4065</v>
      </c>
      <c r="E10" s="100"/>
      <c r="F10" s="101"/>
      <c r="G10" s="98"/>
      <c r="H10" s="87"/>
    </row>
    <row r="11" spans="1:8" x14ac:dyDescent="0.2">
      <c r="A11" s="87"/>
      <c r="B11" s="104"/>
      <c r="C11" s="104"/>
      <c r="D11" s="104"/>
      <c r="E11" s="100"/>
      <c r="F11" s="101"/>
      <c r="G11" s="105"/>
      <c r="H11" s="87"/>
    </row>
    <row r="12" spans="1:8" ht="22.5" x14ac:dyDescent="0.2">
      <c r="A12" s="88" t="s">
        <v>67</v>
      </c>
      <c r="B12" s="88" t="s">
        <v>5</v>
      </c>
      <c r="C12" s="88" t="str">
        <f>C6</f>
        <v>Business</v>
      </c>
      <c r="D12" s="88" t="s">
        <v>45</v>
      </c>
      <c r="E12" s="106"/>
      <c r="F12" s="107"/>
      <c r="G12" s="105"/>
      <c r="H12" s="87"/>
    </row>
    <row r="13" spans="1:8" x14ac:dyDescent="0.2">
      <c r="A13" s="94" t="s">
        <v>63</v>
      </c>
      <c r="B13" s="95"/>
      <c r="C13" s="96"/>
      <c r="D13" s="97">
        <f>IF(C13=0,0,C13)</f>
        <v>0</v>
      </c>
      <c r="E13" s="87"/>
      <c r="F13" s="87"/>
      <c r="G13" s="105"/>
      <c r="H13" s="87"/>
    </row>
    <row r="14" spans="1:8" x14ac:dyDescent="0.2">
      <c r="A14" s="94" t="s">
        <v>27</v>
      </c>
      <c r="B14" s="96">
        <v>3</v>
      </c>
      <c r="C14" s="96">
        <v>0</v>
      </c>
      <c r="D14" s="97">
        <f>SUM(B14:C14)</f>
        <v>3</v>
      </c>
      <c r="E14" s="99"/>
      <c r="F14" s="99"/>
      <c r="G14" s="98"/>
      <c r="H14" s="87"/>
    </row>
    <row r="15" spans="1:8" x14ac:dyDescent="0.2">
      <c r="A15" s="94" t="s">
        <v>28</v>
      </c>
      <c r="B15" s="96">
        <v>754</v>
      </c>
      <c r="C15" s="96">
        <v>2</v>
      </c>
      <c r="D15" s="97">
        <f>SUM(B15:C15)</f>
        <v>756</v>
      </c>
      <c r="E15" s="100"/>
      <c r="F15" s="101"/>
      <c r="G15" s="98"/>
      <c r="H15" s="87"/>
    </row>
    <row r="16" spans="1:8" x14ac:dyDescent="0.2">
      <c r="A16" s="102" t="str">
        <f>A10</f>
        <v>Total</v>
      </c>
      <c r="B16" s="103">
        <f>IF(B14+B15=0,0,B14+B15)</f>
        <v>757</v>
      </c>
      <c r="C16" s="103">
        <f>IF(SUM(C13:C15)=0,0,SUM(C13:C15))</f>
        <v>2</v>
      </c>
      <c r="D16" s="103">
        <f>IF(SUM(D13:D15)=0,0,SUM(D13:D15))</f>
        <v>759</v>
      </c>
      <c r="E16" s="100"/>
      <c r="F16" s="101"/>
      <c r="G16" s="98"/>
      <c r="H16" s="87"/>
    </row>
    <row r="17" spans="1:8" x14ac:dyDescent="0.2">
      <c r="A17" s="87"/>
      <c r="B17" s="87"/>
      <c r="C17" s="87"/>
      <c r="D17" s="87"/>
      <c r="E17" s="100"/>
      <c r="F17" s="101"/>
      <c r="G17" s="105"/>
      <c r="H17" s="87"/>
    </row>
    <row r="18" spans="1:8" ht="22.5" x14ac:dyDescent="0.2">
      <c r="A18" s="88" t="s">
        <v>68</v>
      </c>
      <c r="B18" s="88" t="s">
        <v>5</v>
      </c>
      <c r="C18" s="88" t="str">
        <f>C6</f>
        <v>Business</v>
      </c>
      <c r="D18" s="88" t="s">
        <v>45</v>
      </c>
      <c r="E18" s="106"/>
      <c r="F18" s="107"/>
      <c r="G18" s="105"/>
      <c r="H18" s="87"/>
    </row>
    <row r="19" spans="1:8" x14ac:dyDescent="0.2">
      <c r="A19" s="94" t="s">
        <v>63</v>
      </c>
      <c r="B19" s="95"/>
      <c r="C19" s="108">
        <f t="shared" ref="C19:D20" si="0">IF(C7+C13=0,0,C7+C13)</f>
        <v>0</v>
      </c>
      <c r="D19" s="97"/>
      <c r="E19" s="105"/>
      <c r="F19" s="105"/>
      <c r="G19" s="105"/>
      <c r="H19" s="87"/>
    </row>
    <row r="20" spans="1:8" x14ac:dyDescent="0.2">
      <c r="A20" s="94" t="s">
        <v>27</v>
      </c>
      <c r="B20" s="108">
        <f>IF(B8+B14=0,0,B8+B14)</f>
        <v>194</v>
      </c>
      <c r="C20" s="108">
        <f>IF(C8+C14=0,0,C8+C14)</f>
        <v>2</v>
      </c>
      <c r="D20" s="97">
        <f t="shared" si="0"/>
        <v>196</v>
      </c>
      <c r="E20" s="98"/>
      <c r="F20" s="105"/>
      <c r="G20" s="105"/>
      <c r="H20" s="87"/>
    </row>
    <row r="21" spans="1:8" x14ac:dyDescent="0.2">
      <c r="A21" s="94" t="s">
        <v>28</v>
      </c>
      <c r="B21" s="108">
        <f>IF(B9+B15=0,0,B9+B15)</f>
        <v>4582</v>
      </c>
      <c r="C21" s="108">
        <f>IF(C9+C15=0,0,C9+C15)</f>
        <v>46</v>
      </c>
      <c r="D21" s="97">
        <f>IF(D9+D15=0,0,D9+D15)</f>
        <v>4628</v>
      </c>
      <c r="E21" s="87"/>
      <c r="F21" s="105"/>
      <c r="G21" s="105"/>
      <c r="H21" s="87"/>
    </row>
    <row r="22" spans="1:8" x14ac:dyDescent="0.2">
      <c r="A22" s="102" t="str">
        <f>A10</f>
        <v>Total</v>
      </c>
      <c r="B22" s="103">
        <f>IF(B20+B21=0,0,B20+B21)</f>
        <v>4776</v>
      </c>
      <c r="C22" s="103">
        <f>IF(SUM(C19:C21)=0,0,SUM(C19:C21))</f>
        <v>48</v>
      </c>
      <c r="D22" s="103">
        <f>SUM(D19:D21)</f>
        <v>4824</v>
      </c>
      <c r="E22" s="87"/>
      <c r="F22" s="105"/>
      <c r="G22" s="105"/>
      <c r="H22" s="87"/>
    </row>
    <row r="23" spans="1:8" x14ac:dyDescent="0.2">
      <c r="B23" s="87"/>
      <c r="C23" s="87"/>
      <c r="E23" s="87"/>
      <c r="F23" s="105"/>
      <c r="G23" s="105"/>
      <c r="H23" s="87"/>
    </row>
    <row r="24" spans="1:8" ht="22.5" x14ac:dyDescent="0.2">
      <c r="A24" s="88" t="s">
        <v>65</v>
      </c>
      <c r="B24" s="88" t="s">
        <v>5</v>
      </c>
      <c r="C24" s="88">
        <f>C17</f>
        <v>0</v>
      </c>
      <c r="D24" s="88" t="s">
        <v>45</v>
      </c>
    </row>
    <row r="25" spans="1:8" x14ac:dyDescent="0.2">
      <c r="A25" s="94" t="s">
        <v>63</v>
      </c>
      <c r="B25" s="95"/>
      <c r="C25" s="108">
        <f>IF(C13+C19=0,0,C13+C19)</f>
        <v>0</v>
      </c>
      <c r="D25" s="97">
        <f>IF(C25=0,0,C25)</f>
        <v>0</v>
      </c>
    </row>
    <row r="26" spans="1:8" x14ac:dyDescent="0.2">
      <c r="A26" s="94" t="s">
        <v>27</v>
      </c>
      <c r="B26" s="96">
        <v>239</v>
      </c>
      <c r="C26" s="96">
        <v>11</v>
      </c>
      <c r="D26" s="97">
        <f>SUM(B26:C26)</f>
        <v>250</v>
      </c>
    </row>
    <row r="27" spans="1:8" x14ac:dyDescent="0.2">
      <c r="A27" s="94" t="s">
        <v>28</v>
      </c>
      <c r="B27" s="96">
        <v>636</v>
      </c>
      <c r="C27" s="96">
        <v>54</v>
      </c>
      <c r="D27" s="97">
        <f>SUM(B27:C27)</f>
        <v>690</v>
      </c>
    </row>
    <row r="28" spans="1:8" x14ac:dyDescent="0.2">
      <c r="A28" s="102" t="str">
        <f>A22</f>
        <v>Total</v>
      </c>
      <c r="B28" s="103">
        <f>IF(B26+B27=0,0,B26+B27)</f>
        <v>875</v>
      </c>
      <c r="C28" s="103">
        <f>IF(SUM(C25:C27)=0,0,SUM(C25:C27))</f>
        <v>65</v>
      </c>
      <c r="D28" s="103">
        <f>IF(SUM(D25:D27)=0,0,SUM(D25:D27))</f>
        <v>940</v>
      </c>
    </row>
    <row r="30" spans="1:8" x14ac:dyDescent="0.2">
      <c r="A30" s="88" t="s">
        <v>66</v>
      </c>
      <c r="B30" s="88" t="s">
        <v>5</v>
      </c>
      <c r="C30" s="88" t="str">
        <f>C18</f>
        <v>Business</v>
      </c>
      <c r="D30" s="88" t="s">
        <v>45</v>
      </c>
    </row>
    <row r="31" spans="1:8" x14ac:dyDescent="0.2">
      <c r="A31" s="94" t="s">
        <v>63</v>
      </c>
      <c r="B31" s="95"/>
      <c r="C31" s="108">
        <f t="shared" ref="C31:D33" si="1">C19+C25</f>
        <v>0</v>
      </c>
      <c r="D31" s="97">
        <f t="shared" si="1"/>
        <v>0</v>
      </c>
    </row>
    <row r="32" spans="1:8" x14ac:dyDescent="0.2">
      <c r="A32" s="94" t="s">
        <v>27</v>
      </c>
      <c r="B32" s="108">
        <f>B20+B26</f>
        <v>433</v>
      </c>
      <c r="C32" s="108">
        <f t="shared" si="1"/>
        <v>13</v>
      </c>
      <c r="D32" s="97">
        <f t="shared" si="1"/>
        <v>446</v>
      </c>
      <c r="E32" s="87"/>
      <c r="F32" s="87"/>
      <c r="G32" s="87"/>
    </row>
    <row r="33" spans="1:4" x14ac:dyDescent="0.2">
      <c r="A33" s="94" t="s">
        <v>28</v>
      </c>
      <c r="B33" s="108">
        <f>B21+B27</f>
        <v>5218</v>
      </c>
      <c r="C33" s="108">
        <f t="shared" si="1"/>
        <v>100</v>
      </c>
      <c r="D33" s="97">
        <f t="shared" si="1"/>
        <v>5318</v>
      </c>
    </row>
    <row r="34" spans="1:4" x14ac:dyDescent="0.2">
      <c r="A34" s="102" t="str">
        <f>A28</f>
        <v>Total</v>
      </c>
      <c r="B34" s="103">
        <f>IF(B32+B33=0,0,B32+B33)</f>
        <v>5651</v>
      </c>
      <c r="C34" s="103">
        <f>IF(SUM(C31:C33)=0,0,SUM(C31:C33))</f>
        <v>113</v>
      </c>
      <c r="D34" s="103">
        <f>SUM(D31:D33)</f>
        <v>5764</v>
      </c>
    </row>
    <row r="36" spans="1:4" x14ac:dyDescent="0.2">
      <c r="A36" s="109" t="str">
        <f>"In summary, "&amp;TEXT($D$22,"0,000")&amp; " of UI's customers are participating in the CTCleanEnergyOptions Program"</f>
        <v>In summary, 4,824 of UI's customers are participating in the CTCleanEnergyOptions Program</v>
      </c>
    </row>
    <row r="37" spans="1:4" x14ac:dyDescent="0.2">
      <c r="A37" s="109" t="str">
        <f>"In summary, "&amp;TEXT($D$28,"000")&amp; " of UI's customers are participating in RECs only with Sterling Planet"</f>
        <v>In summary, 940 of UI's customers are participating in RECs only with Sterling Planet</v>
      </c>
    </row>
    <row r="38" spans="1:4" x14ac:dyDescent="0.2">
      <c r="A38" s="109" t="str">
        <f>"In summary, "&amp;TEXT($D$34,"0,000")&amp; " of UI's customers are participating in all REC programs"</f>
        <v>In summary, 5,764 of UI's customers are participating in all REC programs</v>
      </c>
    </row>
    <row r="40" spans="1:4" x14ac:dyDescent="0.2">
      <c r="A40" s="110" t="s">
        <v>33</v>
      </c>
    </row>
    <row r="41" spans="1:4" x14ac:dyDescent="0.2">
      <c r="A41" s="87" t="s">
        <v>29</v>
      </c>
    </row>
    <row r="43" spans="1:4" x14ac:dyDescent="0.2">
      <c r="A43" s="86" t="str">
        <f>'Summary Load Customers '!A34</f>
        <v>Dated 10/17/2014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19 C25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2014-10-14T20:32:57Z</cp:lastPrinted>
  <dcterms:created xsi:type="dcterms:W3CDTF">2009-03-17T13:14:28Z</dcterms:created>
  <dcterms:modified xsi:type="dcterms:W3CDTF">2014-10-17T13:21:39Z</dcterms:modified>
</cp:coreProperties>
</file>