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3070" windowHeight="465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E62" i="6" l="1"/>
  <c r="E60" i="6"/>
  <c r="E61" i="6"/>
  <c r="F58" i="6"/>
  <c r="D62" i="6"/>
  <c r="C62" i="6"/>
  <c r="F60" i="6" l="1"/>
  <c r="F59" i="6"/>
  <c r="E59" i="6" l="1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9" i="6" l="1"/>
  <c r="F13" i="6" l="1"/>
  <c r="F12" i="6" l="1"/>
  <c r="F9" i="6"/>
  <c r="F13" i="7"/>
  <c r="A5" i="5" l="1"/>
  <c r="C22" i="5" l="1"/>
  <c r="B22" i="5"/>
  <c r="C21" i="5"/>
  <c r="B21" i="5"/>
  <c r="H12" i="7" l="1"/>
  <c r="F15" i="6" l="1"/>
  <c r="F42" i="6"/>
  <c r="F47" i="6"/>
  <c r="F56" i="6"/>
  <c r="B34" i="5" l="1"/>
  <c r="C34" i="5"/>
  <c r="B33" i="5"/>
  <c r="C33" i="5"/>
  <c r="A6" i="8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/>
  <c r="H11" i="7"/>
  <c r="A1" i="6"/>
  <c r="A1" i="5"/>
  <c r="C17" i="5"/>
  <c r="C11" i="5"/>
  <c r="B11" i="5"/>
  <c r="B17" i="5"/>
  <c r="A5" i="6"/>
  <c r="A22" i="7"/>
  <c r="A21" i="7"/>
  <c r="D10" i="7"/>
  <c r="F10" i="7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D22" i="5" l="1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45" i="6" l="1"/>
  <c r="F34" i="6"/>
  <c r="F51" i="6"/>
  <c r="F29" i="6"/>
  <c r="F11" i="6"/>
  <c r="F14" i="6"/>
  <c r="F16" i="6"/>
  <c r="F18" i="6"/>
  <c r="F20" i="6"/>
  <c r="F22" i="6"/>
  <c r="F24" i="6"/>
  <c r="F26" i="6"/>
  <c r="F28" i="6"/>
  <c r="F31" i="6"/>
  <c r="F33" i="6"/>
  <c r="F35" i="6"/>
  <c r="F37" i="6"/>
  <c r="F39" i="6"/>
  <c r="F41" i="6"/>
  <c r="F43" i="6"/>
  <c r="F49" i="6"/>
  <c r="F52" i="6"/>
  <c r="F54" i="6"/>
  <c r="F53" i="6"/>
  <c r="F61" i="6"/>
  <c r="F10" i="6"/>
  <c r="F17" i="6"/>
  <c r="F19" i="6"/>
  <c r="F21" i="6"/>
  <c r="F23" i="6"/>
  <c r="F25" i="6"/>
  <c r="F27" i="6"/>
  <c r="F30" i="6"/>
  <c r="F32" i="6"/>
  <c r="F36" i="6"/>
  <c r="F38" i="6"/>
  <c r="F40" i="6"/>
  <c r="F44" i="6"/>
  <c r="F46" i="6"/>
  <c r="F48" i="6"/>
  <c r="F50" i="6"/>
  <c r="F55" i="6"/>
  <c r="F57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F62" i="6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<sst xmlns="http://schemas.openxmlformats.org/spreadsheetml/2006/main" count="175" uniqueCount="110">
  <si>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</si>
  <si>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</si>
  <si>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</si>
  <si>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</si>
  <si>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</si>
  <si>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</si>
  <si>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</si>
  <si>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</si>
  <si>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</si>
  <si>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</si>
  <si>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</si>
  <si>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</si>
  <si>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</si>
  <si>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</si>
  <si>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</si>
  <si>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</si>
  <si>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</si>
  <si>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</si>
  <si>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</si>
  <si>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</si>
  <si>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</si>
  <si>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</si>
  <si>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</si>
  <si>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</si>
  <si>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</si>
  <si>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</si>
  <si>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</si>
  <si>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</si>
  <si>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</si>
  <si>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</si>
  <si>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</si>
  <si>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</si>
  <si>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</si>
  <si>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</si>
  <si>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</si>
  <si>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</si>
  <si>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</si>
  <si>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</si>
  <si>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</si>
  <si>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</si>
  <si>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</si>
  <si>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</si>
  <si>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</si>
  <si>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</si>
  <si>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</si>
  <si>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</si>
  <si>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</si>
  <si>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</si>
  <si>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</si>
  <si>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</si>
  <si>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</si>
  <si>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</si>
  <si>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</si>
  <si>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</si>
  <si>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</si>
  <si>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</si>
  <si>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</si>
  <si>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</si>
  <si>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</si>
  <si>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</si>
  <si>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</si>
  <si>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</si>
  <si>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</si>
  <si>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</si>
  <si>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</si>
  <si>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</si>
  <si>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</si>
  <si>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</si>
  <si>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</si>
  <si>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</si>
  <si>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</si>
  <si>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</si>
  <si>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</si>
  <si>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</si>
  <si>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</si>
  <si>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</si>
  <si>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</si>
  <si>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</si>
  <si>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</si>
  <si>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</si>
  <si>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</si>
  <si>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</si>
  <si>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</si>
  <si>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</si>
  <si>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</si>
  <si>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</si>
  <si>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</si>
  <si>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</si>
  <si>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</si>
  <si>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</si>
  <si>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</si>
  <si>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</si>
  <si>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</si>
  <si>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</si>
  <si>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</si>
  <si>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</si>
  <si>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</si>
  <si>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</si>
  <si>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</si>
  <si>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</si>
  <si>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</si>
  <si>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</si>
  <si>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</si>
  <si>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</si>
  <si>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</si>
  <si>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</si>
  <si>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</si>
  <si>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</si>
  <si>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</si>
  <si>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Data as of November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</si>
</sst>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164" fontId="9" fillId="0" borderId="12" xfId="2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>
      <protection locked="0"/>
    </xf>
    <xf numFmtId="164" fontId="9" fillId="0" borderId="3" xfId="2" applyNumberFormat="1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3" fontId="1" fillId="0" borderId="12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109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56465.544000000016</v>
      </c>
      <c r="C11" s="45">
        <f>IF(B11=0,0,B11/$B$13)</f>
        <v>0.39913192029342009</v>
      </c>
      <c r="D11" s="74">
        <v>131846.85699000035</v>
      </c>
      <c r="E11" s="45">
        <f>IF(D11=0,0,D11/$D$13)</f>
        <v>0.75830355426575258</v>
      </c>
      <c r="F11" s="74">
        <v>93221.805010000098</v>
      </c>
      <c r="G11" s="45">
        <f>IF(F11=0,0,F11/$F$13)</f>
        <v>0.96234253753557797</v>
      </c>
      <c r="H11" s="46">
        <f>IF(B11+D11+F11=0,0,B11+D11+F11)</f>
        <v>281534.20600000047</v>
      </c>
      <c r="I11" s="45">
        <f>IF(H11=0,0,H11/$H$13)</f>
        <v>0.68298506354140687</v>
      </c>
    </row>
    <row r="12" spans="1:15" ht="18" customHeight="1" x14ac:dyDescent="0.2">
      <c r="A12" s="44" t="s">
        <v>15</v>
      </c>
      <c r="B12" s="75">
        <v>85005.336000000025</v>
      </c>
      <c r="C12" s="45">
        <f>IF(B12=0,0,B12/$B$13)</f>
        <v>0.60086807970657996</v>
      </c>
      <c r="D12" s="75">
        <v>42023.957999999991</v>
      </c>
      <c r="E12" s="45">
        <f>IF(D12=0,0,D12/$D$13)</f>
        <v>0.24169644573424745</v>
      </c>
      <c r="F12" s="75">
        <v>3647.866</v>
      </c>
      <c r="G12" s="45">
        <f>IF(F12=0,0,F12/$F$13)</f>
        <v>3.7657462464422142E-2</v>
      </c>
      <c r="H12" s="114">
        <f>IF(B12+D12+F12=0,0,B12+D12+F12)</f>
        <v>130677.16000000002</v>
      </c>
      <c r="I12" s="45">
        <f>IF(H12=0,0,H12/$H$13)</f>
        <v>0.31701493645859308</v>
      </c>
    </row>
    <row r="13" spans="1:15" ht="18" customHeight="1" x14ac:dyDescent="0.2">
      <c r="A13" s="44" t="s">
        <v>16</v>
      </c>
      <c r="B13" s="47">
        <f>SUM(B11:B12)</f>
        <v>141470.88000000003</v>
      </c>
      <c r="C13" s="48"/>
      <c r="D13" s="47">
        <f>SUM(D11:D12)</f>
        <v>173870.81499000033</v>
      </c>
      <c r="E13" s="48"/>
      <c r="F13" s="47">
        <f>SUM(F11:F12)</f>
        <v>96869.671010000093</v>
      </c>
      <c r="G13" s="48"/>
      <c r="H13" s="47">
        <f>IF(H11+H12=0,0,H11+H12)</f>
        <v>412211.3660000005</v>
      </c>
      <c r="I13" s="49"/>
    </row>
    <row r="14" spans="1:15" ht="18" customHeight="1" x14ac:dyDescent="0.2">
      <c r="A14" s="110" t="str">
        <f>"As the above table shows, "&amp;TEXT(H11,"0,000")&amp; " MWh, or "&amp;TEXT(I11,"0.0%")&amp;" of UI's total load is served by electric suppliers"</f>
        <v>As the above table shows, 281,534 MWh, or 68.3% of UI's total load is served by electric suppliers</v>
      </c>
      <c r="H14" s="32"/>
      <c r="L14" s="113"/>
      <c r="M14" s="113"/>
      <c r="O14" s="113"/>
    </row>
    <row r="15" spans="1:15" ht="18" customHeight="1" x14ac:dyDescent="0.25">
      <c r="A15" s="110" t="str">
        <f>"while "&amp;TEXT(H12,"0,000")&amp;" MHh, or "&amp;TEXT(I12,"0.0%")&amp;" of the load is provided under Standard Service or Last Resort service through UI."</f>
        <v>while 130,677 MHh, or 31.7%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11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108092</v>
      </c>
      <c r="C20" s="45">
        <f>IF(B20=0,0,B20/$B$22)</f>
        <v>0.36234181988837305</v>
      </c>
      <c r="D20" s="74">
        <v>20552</v>
      </c>
      <c r="E20" s="58">
        <f>IF(D20=0,0,D20/$D$22)</f>
        <v>0.53170517165549891</v>
      </c>
      <c r="F20" s="74">
        <v>222</v>
      </c>
      <c r="G20" s="45">
        <f>IF(F20=0,0,F20/$F$22)</f>
        <v>0.9327731092436975</v>
      </c>
      <c r="H20" s="46">
        <f>IF(B20+D20+F20=0,0,B20+D20+F20)</f>
        <v>128866</v>
      </c>
      <c r="I20" s="45">
        <f>IF(H20=0,0,H20/$H$22)</f>
        <v>0.38215808734126916</v>
      </c>
      <c r="J20" s="59"/>
      <c r="M20" s="113"/>
    </row>
    <row r="21" spans="1:17" ht="18" customHeight="1" x14ac:dyDescent="0.2">
      <c r="A21" s="44" t="str">
        <f>A12</f>
        <v>UI</v>
      </c>
      <c r="B21" s="75">
        <v>190223</v>
      </c>
      <c r="C21" s="45">
        <f>IF(B21=0,0,B21/$B$22)</f>
        <v>0.637658180111627</v>
      </c>
      <c r="D21" s="75">
        <v>18101</v>
      </c>
      <c r="E21" s="58">
        <f>IF(D21=0,0,D21/$D$22)</f>
        <v>0.46829482834450109</v>
      </c>
      <c r="F21" s="75">
        <v>16</v>
      </c>
      <c r="G21" s="45">
        <f>IF(F21=0,0,F21/$F$22)</f>
        <v>6.7226890756302518E-2</v>
      </c>
      <c r="H21" s="75">
        <f>IF(B21+D21+F21=0,0,B21+D21+F21)</f>
        <v>208340</v>
      </c>
      <c r="I21" s="45">
        <f>IF(H21=0,0,H21/$H$22)</f>
        <v>0.6178419126587309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298315</v>
      </c>
      <c r="C22" s="60"/>
      <c r="D22" s="47">
        <f>SUM(D20:D21)</f>
        <v>38653</v>
      </c>
      <c r="E22" s="48"/>
      <c r="F22" s="47">
        <f>SUM(F20:F21)</f>
        <v>238</v>
      </c>
      <c r="G22" s="48"/>
      <c r="H22" s="47">
        <f>IF(H20+H21=0,0,H20+H21)</f>
        <v>337206</v>
      </c>
      <c r="I22" s="49"/>
      <c r="Q22" s="113"/>
    </row>
    <row r="23" spans="1:17" ht="18" customHeight="1" x14ac:dyDescent="0.25">
      <c r="G23" s="54"/>
      <c r="H23" s="32"/>
    </row>
    <row r="24" spans="1:17" ht="18" customHeight="1" x14ac:dyDescent="0.25">
      <c r="A24" s="110" t="str">
        <f>"As the above table shows, "&amp;TEXT(H20,"0,000")&amp; " of UI's total customers, or "&amp;TEXT(I20,"0.0%")&amp;" are served by electric suppliers"</f>
        <v>As the above table shows, 128,866 of UI's total customers, or 38.2% are served by electric suppliers</v>
      </c>
      <c r="G24" s="54"/>
      <c r="H24" s="32"/>
    </row>
    <row r="25" spans="1:17" ht="18" customHeight="1" x14ac:dyDescent="0.25">
      <c r="A25" s="110" t="str">
        <f>"while "&amp;TEXT(H21,"0,000")&amp;" or "&amp;TEXT(I21,"0.0%")&amp;" of the customers continue to receive Standard Service or Last Resort service through UI."</f>
        <v>while 208,340 or 61.8%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3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3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showZeros="0" topLeftCell="A10" zoomScaleNormal="100" workbookViewId="0">
      <selection activeCell="D59" sqref="D59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20" t="s">
        <v>107</v>
      </c>
      <c r="B2" s="120"/>
      <c r="C2" s="120"/>
      <c r="D2" s="120"/>
      <c r="E2" s="120"/>
      <c r="F2" s="120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November 30, 2015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1354</v>
      </c>
      <c r="D9" s="77">
        <v>446</v>
      </c>
      <c r="E9" s="115">
        <f t="shared" ref="E9:E61" si="0">IF(SUM(C9:D9)=0,0,SUM(C9:D9))</f>
        <v>1800</v>
      </c>
      <c r="F9" s="25">
        <f t="shared" ref="F9:F40" si="1">IF(E9=0,"",E9/$E$62)</f>
        <v>1.3967997765120357E-2</v>
      </c>
    </row>
    <row r="10" spans="1:11" ht="14.25" customHeight="1" x14ac:dyDescent="0.2">
      <c r="A10" s="23">
        <v>2</v>
      </c>
      <c r="B10" s="24" t="s">
        <v>88</v>
      </c>
      <c r="C10" s="77">
        <v>847</v>
      </c>
      <c r="D10" s="77">
        <v>770</v>
      </c>
      <c r="E10" s="115">
        <f t="shared" si="0"/>
        <v>1617</v>
      </c>
      <c r="F10" s="25">
        <f t="shared" si="1"/>
        <v>1.2547917992333121E-2</v>
      </c>
    </row>
    <row r="11" spans="1:11" ht="14.25" customHeight="1" x14ac:dyDescent="0.2">
      <c r="A11" s="23">
        <v>3</v>
      </c>
      <c r="B11" s="24" t="s">
        <v>108</v>
      </c>
      <c r="C11" s="77">
        <v>10</v>
      </c>
      <c r="D11" s="77">
        <v>16</v>
      </c>
      <c r="E11" s="115">
        <f t="shared" si="0"/>
        <v>26</v>
      </c>
      <c r="F11" s="25">
        <f t="shared" si="1"/>
        <v>2.0175996771840517E-4</v>
      </c>
    </row>
    <row r="12" spans="1:11" ht="14.25" customHeight="1" x14ac:dyDescent="0.2">
      <c r="A12" s="23">
        <v>4</v>
      </c>
      <c r="B12" s="112" t="s">
        <v>83</v>
      </c>
      <c r="C12" s="77">
        <v>11205</v>
      </c>
      <c r="D12" s="77">
        <v>901</v>
      </c>
      <c r="E12" s="115">
        <f t="shared" si="0"/>
        <v>12106</v>
      </c>
      <c r="F12" s="25">
        <f t="shared" si="1"/>
        <v>9.3942544969192798E-2</v>
      </c>
    </row>
    <row r="13" spans="1:11" ht="14.25" customHeight="1" x14ac:dyDescent="0.2">
      <c r="A13" s="23">
        <v>5</v>
      </c>
      <c r="B13" s="112" t="s">
        <v>94</v>
      </c>
      <c r="C13" s="77">
        <v>0</v>
      </c>
      <c r="D13" s="77">
        <v>0</v>
      </c>
      <c r="E13" s="115">
        <f t="shared" si="0"/>
        <v>0</v>
      </c>
      <c r="F13" s="25" t="str">
        <f t="shared" si="1"/>
        <v/>
      </c>
    </row>
    <row r="14" spans="1:11" ht="14.25" customHeight="1" x14ac:dyDescent="0.2">
      <c r="A14" s="23">
        <v>6</v>
      </c>
      <c r="B14" s="24" t="s">
        <v>104</v>
      </c>
      <c r="C14" s="77">
        <v>0</v>
      </c>
      <c r="D14" s="77">
        <v>12</v>
      </c>
      <c r="E14" s="115">
        <f t="shared" si="0"/>
        <v>12</v>
      </c>
      <c r="F14" s="25">
        <f t="shared" si="1"/>
        <v>9.3119985100802377E-5</v>
      </c>
    </row>
    <row r="15" spans="1:11" ht="14.25" customHeight="1" x14ac:dyDescent="0.2">
      <c r="A15" s="23">
        <v>7</v>
      </c>
      <c r="B15" s="24" t="s">
        <v>54</v>
      </c>
      <c r="C15" s="77">
        <v>1377</v>
      </c>
      <c r="D15" s="77">
        <v>42</v>
      </c>
      <c r="E15" s="115">
        <f t="shared" si="0"/>
        <v>1419</v>
      </c>
      <c r="F15" s="25">
        <f t="shared" si="1"/>
        <v>1.1011438238169882E-2</v>
      </c>
    </row>
    <row r="16" spans="1:11" ht="14.25" customHeight="1" x14ac:dyDescent="0.2">
      <c r="A16" s="23">
        <v>8</v>
      </c>
      <c r="B16" s="24" t="s">
        <v>53</v>
      </c>
      <c r="C16" s="77">
        <v>0</v>
      </c>
      <c r="D16" s="77">
        <v>0</v>
      </c>
      <c r="E16" s="115">
        <f t="shared" si="0"/>
        <v>0</v>
      </c>
      <c r="F16" s="25" t="str">
        <f t="shared" si="1"/>
        <v/>
      </c>
    </row>
    <row r="17" spans="1:6" ht="14.25" customHeight="1" x14ac:dyDescent="0.2">
      <c r="A17" s="23">
        <v>9</v>
      </c>
      <c r="B17" s="24" t="s">
        <v>10</v>
      </c>
      <c r="C17" s="77">
        <v>1813</v>
      </c>
      <c r="D17" s="77">
        <v>10</v>
      </c>
      <c r="E17" s="115">
        <f t="shared" si="0"/>
        <v>1823</v>
      </c>
      <c r="F17" s="25">
        <f t="shared" si="1"/>
        <v>1.4146477736563563E-2</v>
      </c>
    </row>
    <row r="18" spans="1:6" ht="14.25" customHeight="1" x14ac:dyDescent="0.2">
      <c r="A18" s="23">
        <v>10</v>
      </c>
      <c r="B18" s="112" t="s">
        <v>12</v>
      </c>
      <c r="C18" s="77">
        <v>10354</v>
      </c>
      <c r="D18" s="77">
        <v>1255</v>
      </c>
      <c r="E18" s="115">
        <f t="shared" si="0"/>
        <v>11609</v>
      </c>
      <c r="F18" s="25">
        <f t="shared" si="1"/>
        <v>9.0085825586267904E-2</v>
      </c>
    </row>
    <row r="19" spans="1:6" ht="14.25" customHeight="1" x14ac:dyDescent="0.2">
      <c r="A19" s="23">
        <v>11</v>
      </c>
      <c r="B19" s="24" t="s">
        <v>85</v>
      </c>
      <c r="C19" s="77">
        <v>3995</v>
      </c>
      <c r="D19" s="77">
        <v>110</v>
      </c>
      <c r="E19" s="115">
        <f t="shared" si="0"/>
        <v>4105</v>
      </c>
      <c r="F19" s="25">
        <f t="shared" si="1"/>
        <v>3.1854794903232814E-2</v>
      </c>
    </row>
    <row r="20" spans="1:6" ht="14.25" customHeight="1" x14ac:dyDescent="0.2">
      <c r="A20" s="23">
        <v>12</v>
      </c>
      <c r="B20" s="24" t="s">
        <v>14</v>
      </c>
      <c r="C20" s="77">
        <v>342</v>
      </c>
      <c r="D20" s="77">
        <v>2248</v>
      </c>
      <c r="E20" s="115">
        <f t="shared" si="0"/>
        <v>2590</v>
      </c>
      <c r="F20" s="25">
        <f t="shared" si="1"/>
        <v>2.0098396784256515E-2</v>
      </c>
    </row>
    <row r="21" spans="1:6" ht="14.25" customHeight="1" x14ac:dyDescent="0.2">
      <c r="A21" s="23">
        <v>13</v>
      </c>
      <c r="B21" s="112" t="s">
        <v>82</v>
      </c>
      <c r="C21" s="77">
        <v>326</v>
      </c>
      <c r="D21" s="77">
        <v>101</v>
      </c>
      <c r="E21" s="115">
        <f t="shared" si="0"/>
        <v>427</v>
      </c>
      <c r="F21" s="25">
        <f t="shared" si="1"/>
        <v>3.3135194698368847E-3</v>
      </c>
    </row>
    <row r="22" spans="1:6" ht="14.25" customHeight="1" x14ac:dyDescent="0.2">
      <c r="A22" s="23">
        <v>14</v>
      </c>
      <c r="B22" s="112" t="s">
        <v>98</v>
      </c>
      <c r="C22" s="77">
        <v>38</v>
      </c>
      <c r="D22" s="77">
        <v>892</v>
      </c>
      <c r="E22" s="115">
        <f t="shared" si="0"/>
        <v>930</v>
      </c>
      <c r="F22" s="25">
        <f t="shared" si="1"/>
        <v>7.2167988453121848E-3</v>
      </c>
    </row>
    <row r="23" spans="1:6" ht="14.25" customHeight="1" x14ac:dyDescent="0.2">
      <c r="A23" s="23">
        <v>15</v>
      </c>
      <c r="B23" s="78" t="s">
        <v>99</v>
      </c>
      <c r="C23" s="77">
        <v>12009</v>
      </c>
      <c r="D23" s="77">
        <v>2777</v>
      </c>
      <c r="E23" s="115">
        <f t="shared" si="0"/>
        <v>14786</v>
      </c>
      <c r="F23" s="25">
        <f t="shared" si="1"/>
        <v>0.11473934164170534</v>
      </c>
    </row>
    <row r="24" spans="1:6" ht="14.25" customHeight="1" x14ac:dyDescent="0.2">
      <c r="A24" s="23">
        <v>16</v>
      </c>
      <c r="B24" s="112" t="s">
        <v>50</v>
      </c>
      <c r="C24" s="77">
        <v>4595</v>
      </c>
      <c r="D24" s="77">
        <v>358</v>
      </c>
      <c r="E24" s="115">
        <f t="shared" si="0"/>
        <v>4953</v>
      </c>
      <c r="F24" s="25">
        <f t="shared" si="1"/>
        <v>3.8435273850356187E-2</v>
      </c>
    </row>
    <row r="25" spans="1:6" ht="14.25" customHeight="1" x14ac:dyDescent="0.2">
      <c r="A25" s="23">
        <v>17</v>
      </c>
      <c r="B25" s="78" t="s">
        <v>91</v>
      </c>
      <c r="C25" s="77">
        <v>0</v>
      </c>
      <c r="D25" s="77">
        <v>0</v>
      </c>
      <c r="E25" s="115">
        <f t="shared" si="0"/>
        <v>0</v>
      </c>
      <c r="F25" s="25" t="str">
        <f t="shared" si="1"/>
        <v/>
      </c>
    </row>
    <row r="26" spans="1:6" ht="14.25" customHeight="1" x14ac:dyDescent="0.2">
      <c r="A26" s="23">
        <v>18</v>
      </c>
      <c r="B26" s="24" t="s">
        <v>46</v>
      </c>
      <c r="C26" s="77">
        <v>1238</v>
      </c>
      <c r="D26" s="77">
        <v>214</v>
      </c>
      <c r="E26" s="115">
        <f t="shared" si="0"/>
        <v>1452</v>
      </c>
      <c r="F26" s="25">
        <f t="shared" si="1"/>
        <v>1.1267518197197089E-2</v>
      </c>
    </row>
    <row r="27" spans="1:6" ht="14.25" customHeight="1" x14ac:dyDescent="0.2">
      <c r="A27" s="23">
        <v>19</v>
      </c>
      <c r="B27" s="24" t="s">
        <v>17</v>
      </c>
      <c r="C27" s="77">
        <v>158</v>
      </c>
      <c r="D27" s="77">
        <v>61</v>
      </c>
      <c r="E27" s="115">
        <f t="shared" si="0"/>
        <v>219</v>
      </c>
      <c r="F27" s="25">
        <f t="shared" si="1"/>
        <v>1.6994397280896436E-3</v>
      </c>
    </row>
    <row r="28" spans="1:6" ht="14.25" customHeight="1" x14ac:dyDescent="0.2">
      <c r="A28" s="23">
        <v>20</v>
      </c>
      <c r="B28" s="24" t="s">
        <v>61</v>
      </c>
      <c r="C28" s="77">
        <v>0</v>
      </c>
      <c r="D28" s="77">
        <v>0</v>
      </c>
      <c r="E28" s="115">
        <f t="shared" si="0"/>
        <v>0</v>
      </c>
      <c r="F28" s="25" t="str">
        <f t="shared" si="1"/>
        <v/>
      </c>
    </row>
    <row r="29" spans="1:6" ht="14.25" customHeight="1" x14ac:dyDescent="0.2">
      <c r="A29" s="23">
        <v>21</v>
      </c>
      <c r="B29" s="112" t="s">
        <v>18</v>
      </c>
      <c r="C29" s="77">
        <v>0</v>
      </c>
      <c r="D29" s="77">
        <v>0</v>
      </c>
      <c r="E29" s="115">
        <f t="shared" si="0"/>
        <v>0</v>
      </c>
      <c r="F29" s="25" t="str">
        <f t="shared" si="1"/>
        <v/>
      </c>
    </row>
    <row r="30" spans="1:6" ht="14.25" customHeight="1" x14ac:dyDescent="0.2">
      <c r="A30" s="23">
        <v>22</v>
      </c>
      <c r="B30" s="24" t="s">
        <v>102</v>
      </c>
      <c r="C30" s="77">
        <v>42</v>
      </c>
      <c r="D30" s="77">
        <v>110</v>
      </c>
      <c r="E30" s="115">
        <f t="shared" si="0"/>
        <v>152</v>
      </c>
      <c r="F30" s="25">
        <f t="shared" si="1"/>
        <v>1.1795198112768302E-3</v>
      </c>
    </row>
    <row r="31" spans="1:6" ht="14.25" customHeight="1" x14ac:dyDescent="0.2">
      <c r="A31" s="23">
        <v>23</v>
      </c>
      <c r="B31" s="24" t="s">
        <v>90</v>
      </c>
      <c r="C31" s="77">
        <v>856</v>
      </c>
      <c r="D31" s="77">
        <v>9</v>
      </c>
      <c r="E31" s="115">
        <f t="shared" si="0"/>
        <v>865</v>
      </c>
      <c r="F31" s="25">
        <f t="shared" si="1"/>
        <v>6.7123989260161722E-3</v>
      </c>
    </row>
    <row r="32" spans="1:6" ht="14.25" customHeight="1" x14ac:dyDescent="0.2">
      <c r="A32" s="23">
        <v>24</v>
      </c>
      <c r="B32" s="24" t="s">
        <v>60</v>
      </c>
      <c r="C32" s="77">
        <v>0</v>
      </c>
      <c r="D32" s="77">
        <v>0</v>
      </c>
      <c r="E32" s="115">
        <f t="shared" si="0"/>
        <v>0</v>
      </c>
      <c r="F32" s="25" t="str">
        <f t="shared" si="1"/>
        <v/>
      </c>
    </row>
    <row r="33" spans="1:6" ht="14.25" customHeight="1" x14ac:dyDescent="0.2">
      <c r="A33" s="23">
        <v>25</v>
      </c>
      <c r="B33" s="112" t="s">
        <v>77</v>
      </c>
      <c r="C33" s="77">
        <v>0</v>
      </c>
      <c r="D33" s="77">
        <v>0</v>
      </c>
      <c r="E33" s="115">
        <f t="shared" si="0"/>
        <v>0</v>
      </c>
      <c r="F33" s="25" t="str">
        <f t="shared" si="1"/>
        <v/>
      </c>
    </row>
    <row r="34" spans="1:6" ht="14.25" customHeight="1" x14ac:dyDescent="0.2">
      <c r="A34" s="23">
        <v>26</v>
      </c>
      <c r="B34" s="24" t="s">
        <v>19</v>
      </c>
      <c r="C34" s="77">
        <v>529</v>
      </c>
      <c r="D34" s="77">
        <v>910</v>
      </c>
      <c r="E34" s="115">
        <f t="shared" si="0"/>
        <v>1439</v>
      </c>
      <c r="F34" s="25">
        <f t="shared" si="1"/>
        <v>1.1166638213337885E-2</v>
      </c>
    </row>
    <row r="35" spans="1:6" ht="14.25" customHeight="1" x14ac:dyDescent="0.2">
      <c r="A35" s="23">
        <v>27</v>
      </c>
      <c r="B35" s="24" t="s">
        <v>20</v>
      </c>
      <c r="C35" s="77">
        <v>0</v>
      </c>
      <c r="D35" s="77">
        <v>0</v>
      </c>
      <c r="E35" s="115">
        <f t="shared" si="0"/>
        <v>0</v>
      </c>
      <c r="F35" s="25" t="str">
        <f t="shared" si="1"/>
        <v/>
      </c>
    </row>
    <row r="36" spans="1:6" ht="14.25" customHeight="1" x14ac:dyDescent="0.2">
      <c r="A36" s="23">
        <v>28</v>
      </c>
      <c r="B36" s="112" t="s">
        <v>21</v>
      </c>
      <c r="C36" s="77">
        <v>7583</v>
      </c>
      <c r="D36" s="77">
        <v>937</v>
      </c>
      <c r="E36" s="115">
        <f t="shared" si="0"/>
        <v>8520</v>
      </c>
      <c r="F36" s="25">
        <f t="shared" si="1"/>
        <v>6.6115189421569687E-2</v>
      </c>
    </row>
    <row r="37" spans="1:6" ht="14.25" customHeight="1" x14ac:dyDescent="0.2">
      <c r="A37" s="23">
        <v>29</v>
      </c>
      <c r="B37" s="24" t="s">
        <v>95</v>
      </c>
      <c r="C37" s="77">
        <v>6</v>
      </c>
      <c r="D37" s="77">
        <v>11</v>
      </c>
      <c r="E37" s="115">
        <f t="shared" si="0"/>
        <v>17</v>
      </c>
      <c r="F37" s="25">
        <f t="shared" si="1"/>
        <v>1.3191997889280339E-4</v>
      </c>
    </row>
    <row r="38" spans="1:6" ht="14.25" customHeight="1" x14ac:dyDescent="0.2">
      <c r="A38" s="23">
        <v>30</v>
      </c>
      <c r="B38" s="112" t="s">
        <v>78</v>
      </c>
      <c r="C38" s="77">
        <v>1</v>
      </c>
      <c r="D38" s="77">
        <v>20</v>
      </c>
      <c r="E38" s="115">
        <f t="shared" si="0"/>
        <v>21</v>
      </c>
      <c r="F38" s="25">
        <f t="shared" si="1"/>
        <v>1.6295997392640416E-4</v>
      </c>
    </row>
    <row r="39" spans="1:6" ht="14.25" customHeight="1" x14ac:dyDescent="0.2">
      <c r="A39" s="23">
        <v>31</v>
      </c>
      <c r="B39" s="112" t="s">
        <v>93</v>
      </c>
      <c r="C39" s="77">
        <v>205</v>
      </c>
      <c r="D39" s="77">
        <v>1269</v>
      </c>
      <c r="E39" s="115">
        <f t="shared" si="0"/>
        <v>1474</v>
      </c>
      <c r="F39" s="25">
        <f t="shared" si="1"/>
        <v>1.1438238169881893E-2</v>
      </c>
    </row>
    <row r="40" spans="1:6" ht="14.25" customHeight="1" x14ac:dyDescent="0.2">
      <c r="A40" s="23">
        <v>32</v>
      </c>
      <c r="B40" s="24" t="s">
        <v>92</v>
      </c>
      <c r="C40" s="77">
        <v>17</v>
      </c>
      <c r="D40" s="77">
        <v>2172</v>
      </c>
      <c r="E40" s="115">
        <f t="shared" si="0"/>
        <v>2189</v>
      </c>
      <c r="F40" s="25">
        <f t="shared" si="1"/>
        <v>1.6986637282138034E-2</v>
      </c>
    </row>
    <row r="41" spans="1:6" ht="14.25" customHeight="1" x14ac:dyDescent="0.2">
      <c r="A41" s="23">
        <v>33</v>
      </c>
      <c r="B41" s="24" t="s">
        <v>51</v>
      </c>
      <c r="C41" s="77">
        <v>8516</v>
      </c>
      <c r="D41" s="77">
        <v>292</v>
      </c>
      <c r="E41" s="115">
        <f t="shared" si="0"/>
        <v>8808</v>
      </c>
      <c r="F41" s="25">
        <f t="shared" ref="F41:F72" si="2">IF(E41=0,"",E41/$E$62)</f>
        <v>6.8350069063988952E-2</v>
      </c>
    </row>
    <row r="42" spans="1:6" ht="14.25" customHeight="1" x14ac:dyDescent="0.2">
      <c r="A42" s="23">
        <v>34</v>
      </c>
      <c r="B42" s="112" t="s">
        <v>59</v>
      </c>
      <c r="C42" s="77">
        <v>871</v>
      </c>
      <c r="D42" s="77">
        <v>13</v>
      </c>
      <c r="E42" s="115">
        <f t="shared" si="0"/>
        <v>884</v>
      </c>
      <c r="F42" s="25">
        <f t="shared" si="2"/>
        <v>6.8598389024257756E-3</v>
      </c>
    </row>
    <row r="43" spans="1:6" ht="14.25" customHeight="1" x14ac:dyDescent="0.2">
      <c r="A43" s="23">
        <v>35</v>
      </c>
      <c r="B43" s="112" t="s">
        <v>96</v>
      </c>
      <c r="C43" s="77">
        <v>0</v>
      </c>
      <c r="D43" s="77">
        <v>0</v>
      </c>
      <c r="E43" s="115">
        <f t="shared" si="0"/>
        <v>0</v>
      </c>
      <c r="F43" s="25" t="str">
        <f t="shared" si="2"/>
        <v/>
      </c>
    </row>
    <row r="44" spans="1:6" ht="14.25" customHeight="1" x14ac:dyDescent="0.2">
      <c r="A44" s="23">
        <v>36</v>
      </c>
      <c r="B44" s="24" t="s">
        <v>86</v>
      </c>
      <c r="C44" s="77">
        <v>2645</v>
      </c>
      <c r="D44" s="77">
        <v>75</v>
      </c>
      <c r="E44" s="115">
        <f t="shared" si="0"/>
        <v>2720</v>
      </c>
      <c r="F44" s="25">
        <f t="shared" si="2"/>
        <v>2.1107196622848542E-2</v>
      </c>
    </row>
    <row r="45" spans="1:6" ht="14.25" customHeight="1" x14ac:dyDescent="0.2">
      <c r="A45" s="23">
        <v>37</v>
      </c>
      <c r="B45" s="24" t="s">
        <v>23</v>
      </c>
      <c r="C45" s="77">
        <v>10188</v>
      </c>
      <c r="D45" s="77">
        <v>1276</v>
      </c>
      <c r="E45" s="115">
        <f t="shared" si="0"/>
        <v>11464</v>
      </c>
      <c r="F45" s="25">
        <f t="shared" si="2"/>
        <v>8.8960625766299872E-2</v>
      </c>
    </row>
    <row r="46" spans="1:6" ht="14.25" customHeight="1" x14ac:dyDescent="0.2">
      <c r="A46" s="23">
        <v>38</v>
      </c>
      <c r="B46" s="112" t="s">
        <v>56</v>
      </c>
      <c r="C46" s="77">
        <v>0</v>
      </c>
      <c r="D46" s="77">
        <v>0</v>
      </c>
      <c r="E46" s="115">
        <f t="shared" si="0"/>
        <v>0</v>
      </c>
      <c r="F46" s="25" t="str">
        <f t="shared" si="2"/>
        <v/>
      </c>
    </row>
    <row r="47" spans="1:6" x14ac:dyDescent="0.2">
      <c r="A47" s="23">
        <v>39</v>
      </c>
      <c r="B47" s="80" t="s">
        <v>87</v>
      </c>
      <c r="C47" s="77">
        <v>2748</v>
      </c>
      <c r="D47" s="77">
        <v>585</v>
      </c>
      <c r="E47" s="115">
        <f t="shared" si="0"/>
        <v>3333</v>
      </c>
      <c r="F47" s="25">
        <f t="shared" si="2"/>
        <v>2.5864075861747861E-2</v>
      </c>
    </row>
    <row r="48" spans="1:6" x14ac:dyDescent="0.2">
      <c r="A48" s="23">
        <v>40</v>
      </c>
      <c r="B48" s="24" t="s">
        <v>49</v>
      </c>
      <c r="C48" s="77">
        <v>0</v>
      </c>
      <c r="D48" s="77">
        <v>0</v>
      </c>
      <c r="E48" s="115">
        <f t="shared" si="0"/>
        <v>0</v>
      </c>
      <c r="F48" s="25" t="str">
        <f t="shared" si="2"/>
        <v/>
      </c>
    </row>
    <row r="49" spans="1:6" x14ac:dyDescent="0.2">
      <c r="A49" s="23">
        <v>41</v>
      </c>
      <c r="B49" s="24" t="s">
        <v>55</v>
      </c>
      <c r="C49" s="77">
        <v>0</v>
      </c>
      <c r="D49" s="77">
        <v>0</v>
      </c>
      <c r="E49" s="115">
        <f t="shared" si="0"/>
        <v>0</v>
      </c>
      <c r="F49" s="25" t="str">
        <f t="shared" si="2"/>
        <v/>
      </c>
    </row>
    <row r="50" spans="1:6" x14ac:dyDescent="0.2">
      <c r="A50" s="23">
        <v>42</v>
      </c>
      <c r="B50" s="24" t="s">
        <v>58</v>
      </c>
      <c r="C50" s="77">
        <v>5276</v>
      </c>
      <c r="D50" s="77">
        <v>375</v>
      </c>
      <c r="E50" s="115">
        <f t="shared" si="0"/>
        <v>5651</v>
      </c>
      <c r="F50" s="25">
        <f t="shared" si="2"/>
        <v>4.3851752983719523E-2</v>
      </c>
    </row>
    <row r="51" spans="1:6" x14ac:dyDescent="0.2">
      <c r="A51" s="23">
        <v>43</v>
      </c>
      <c r="B51" s="112" t="s">
        <v>52</v>
      </c>
      <c r="C51" s="77">
        <v>2688</v>
      </c>
      <c r="D51" s="77">
        <v>203</v>
      </c>
      <c r="E51" s="115">
        <f t="shared" si="0"/>
        <v>2891</v>
      </c>
      <c r="F51" s="25">
        <f t="shared" si="2"/>
        <v>2.2434156410534974E-2</v>
      </c>
    </row>
    <row r="52" spans="1:6" x14ac:dyDescent="0.2">
      <c r="A52" s="23">
        <v>44</v>
      </c>
      <c r="B52" s="24" t="s">
        <v>24</v>
      </c>
      <c r="C52" s="77">
        <v>64</v>
      </c>
      <c r="D52" s="77">
        <v>728</v>
      </c>
      <c r="E52" s="115">
        <f t="shared" si="0"/>
        <v>792</v>
      </c>
      <c r="F52" s="25">
        <f t="shared" si="2"/>
        <v>6.1459190166529573E-3</v>
      </c>
    </row>
    <row r="53" spans="1:6" x14ac:dyDescent="0.2">
      <c r="A53" s="23">
        <v>45</v>
      </c>
      <c r="B53" s="24" t="s">
        <v>103</v>
      </c>
      <c r="C53" s="77">
        <v>3316</v>
      </c>
      <c r="D53" s="77">
        <v>128</v>
      </c>
      <c r="E53" s="115">
        <f t="shared" si="0"/>
        <v>3444</v>
      </c>
      <c r="F53" s="25">
        <f t="shared" si="2"/>
        <v>2.6725435723930283E-2</v>
      </c>
    </row>
    <row r="54" spans="1:6" x14ac:dyDescent="0.2">
      <c r="A54" s="23">
        <v>46</v>
      </c>
      <c r="B54" s="24" t="s">
        <v>84</v>
      </c>
      <c r="C54" s="77">
        <v>0</v>
      </c>
      <c r="D54" s="77">
        <v>15</v>
      </c>
      <c r="E54" s="115">
        <f t="shared" si="0"/>
        <v>15</v>
      </c>
      <c r="F54" s="25">
        <f t="shared" si="2"/>
        <v>1.1639998137600299E-4</v>
      </c>
    </row>
    <row r="55" spans="1:6" x14ac:dyDescent="0.2">
      <c r="A55" s="23">
        <v>47</v>
      </c>
      <c r="B55" s="24" t="s">
        <v>106</v>
      </c>
      <c r="C55" s="77">
        <v>2131</v>
      </c>
      <c r="D55" s="77">
        <v>204</v>
      </c>
      <c r="E55" s="115">
        <f t="shared" si="0"/>
        <v>2335</v>
      </c>
      <c r="F55" s="25">
        <f t="shared" si="2"/>
        <v>1.8119597100864464E-2</v>
      </c>
    </row>
    <row r="56" spans="1:6" x14ac:dyDescent="0.2">
      <c r="A56" s="23">
        <v>48</v>
      </c>
      <c r="B56" s="24" t="s">
        <v>105</v>
      </c>
      <c r="C56" s="77">
        <v>2706</v>
      </c>
      <c r="D56" s="77">
        <v>252</v>
      </c>
      <c r="E56" s="115">
        <f t="shared" si="0"/>
        <v>2958</v>
      </c>
      <c r="F56" s="25">
        <f t="shared" si="2"/>
        <v>2.2954076327347788E-2</v>
      </c>
    </row>
    <row r="57" spans="1:6" x14ac:dyDescent="0.2">
      <c r="A57" s="23">
        <v>49</v>
      </c>
      <c r="B57" s="78" t="s">
        <v>25</v>
      </c>
      <c r="C57" s="77">
        <v>2</v>
      </c>
      <c r="D57" s="77">
        <v>424</v>
      </c>
      <c r="E57" s="115">
        <f t="shared" si="0"/>
        <v>426</v>
      </c>
      <c r="F57" s="25">
        <f t="shared" si="2"/>
        <v>3.3057594710784845E-3</v>
      </c>
    </row>
    <row r="58" spans="1:6" x14ac:dyDescent="0.2">
      <c r="A58" s="23">
        <v>50</v>
      </c>
      <c r="B58" s="78" t="s">
        <v>81</v>
      </c>
      <c r="C58" s="77">
        <v>0</v>
      </c>
      <c r="D58" s="77">
        <v>0</v>
      </c>
      <c r="E58" s="115">
        <f t="shared" si="0"/>
        <v>0</v>
      </c>
      <c r="F58" s="25" t="str">
        <f t="shared" ref="F58:F60" si="3">IF(E58=0,"",E58/$E$62)</f>
        <v/>
      </c>
    </row>
    <row r="59" spans="1:6" x14ac:dyDescent="0.2">
      <c r="A59" s="23">
        <v>51</v>
      </c>
      <c r="B59" s="78" t="s">
        <v>48</v>
      </c>
      <c r="C59" s="117">
        <v>5233</v>
      </c>
      <c r="D59" s="117">
        <v>122</v>
      </c>
      <c r="E59" s="115">
        <f t="shared" si="0"/>
        <v>5355</v>
      </c>
      <c r="F59" s="25">
        <f t="shared" si="3"/>
        <v>4.1554793351233063E-2</v>
      </c>
    </row>
    <row r="60" spans="1:6" x14ac:dyDescent="0.2">
      <c r="A60" s="23">
        <v>52</v>
      </c>
      <c r="B60" s="78" t="s">
        <v>47</v>
      </c>
      <c r="C60" s="117">
        <v>1734</v>
      </c>
      <c r="D60" s="117">
        <v>274</v>
      </c>
      <c r="E60" s="115">
        <f t="shared" si="0"/>
        <v>2008</v>
      </c>
      <c r="F60" s="25">
        <f t="shared" si="3"/>
        <v>1.55820775068676E-2</v>
      </c>
    </row>
    <row r="61" spans="1:6" ht="13.5" thickBot="1" x14ac:dyDescent="0.25">
      <c r="A61" s="23">
        <v>53</v>
      </c>
      <c r="B61" s="78" t="s">
        <v>80</v>
      </c>
      <c r="C61" s="116">
        <v>1074</v>
      </c>
      <c r="D61" s="116">
        <v>157</v>
      </c>
      <c r="E61" s="119">
        <f t="shared" si="0"/>
        <v>1231</v>
      </c>
      <c r="F61" s="79">
        <f>IF(E61=0,"",E61/$E$62)</f>
        <v>9.5525584715906442E-3</v>
      </c>
    </row>
    <row r="62" spans="1:6" ht="13.5" thickTop="1" x14ac:dyDescent="0.2">
      <c r="A62" s="12"/>
      <c r="B62" s="6" t="s">
        <v>26</v>
      </c>
      <c r="C62" s="73">
        <f>SUM(C9:C61)</f>
        <v>108092</v>
      </c>
      <c r="D62" s="73">
        <f>SUM(D9:D61)</f>
        <v>20774</v>
      </c>
      <c r="E62" s="73">
        <f>SUM(E9:E61)</f>
        <v>128866</v>
      </c>
      <c r="F62" s="81">
        <f>IF($E$62=0,0,E62/$E$62)</f>
        <v>1</v>
      </c>
    </row>
    <row r="63" spans="1:6" x14ac:dyDescent="0.2">
      <c r="A63" s="2" t="s">
        <v>30</v>
      </c>
      <c r="B63" s="19"/>
      <c r="C63" s="19"/>
      <c r="D63" s="19"/>
      <c r="E63" s="19"/>
    </row>
    <row r="64" spans="1:6" x14ac:dyDescent="0.2">
      <c r="A64" s="2" t="s">
        <v>34</v>
      </c>
      <c r="D64" s="19"/>
      <c r="E64" s="19"/>
    </row>
    <row r="65" spans="1:5" x14ac:dyDescent="0.2">
      <c r="A65" s="2" t="s">
        <v>35</v>
      </c>
      <c r="C65" s="12"/>
      <c r="D65" s="12"/>
      <c r="E65" s="12"/>
    </row>
    <row r="66" spans="1:5" x14ac:dyDescent="0.2">
      <c r="C66" s="12"/>
      <c r="D66" s="12"/>
      <c r="E66" s="12"/>
    </row>
    <row r="67" spans="1:5" x14ac:dyDescent="0.2">
      <c r="B67" s="118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20" t="s">
        <v>107</v>
      </c>
      <c r="B2" s="120"/>
      <c r="C2" s="120"/>
      <c r="D2" s="120"/>
      <c r="E2" s="120"/>
      <c r="F2" s="120"/>
      <c r="G2" s="120"/>
      <c r="H2" s="120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November 30, 2015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4615</v>
      </c>
      <c r="C13" s="48">
        <f>IF(B13=0,0,B13/'Summary Load Customers '!$B$22)</f>
        <v>1.5470224427199437E-2</v>
      </c>
      <c r="D13" s="47">
        <f>REC_programs_detail!C23</f>
        <v>47</v>
      </c>
      <c r="E13" s="48">
        <f>IF(D13=0,0,D13/('Summary Load Customers '!$D$22+'Summary Load Customers '!$F$22))</f>
        <v>1.2085058239695559E-3</v>
      </c>
      <c r="F13" s="47">
        <f>B13+D13</f>
        <v>4662</v>
      </c>
      <c r="G13" s="48">
        <f>IF(F13=0,0,F13/'Summary Load Customers '!$H$22)</f>
        <v>1.3825376772655291E-2</v>
      </c>
    </row>
    <row r="14" spans="1:9" ht="15.75" customHeight="1" x14ac:dyDescent="0.25">
      <c r="G14" s="54"/>
      <c r="H14" s="32"/>
    </row>
    <row r="15" spans="1:9" ht="15.75" customHeight="1" x14ac:dyDescent="0.25">
      <c r="A15" s="110" t="str">
        <f>"As the above table shows, "&amp;TEXT(F13,"0,000")&amp;" of UI's customers, or "&amp;TEXT(G13,"0.0%")&amp;" are participating in the CTCleanEnergyOptions Program."</f>
        <v>As the above table shows, 4,662 of UI's customers, or 1.4%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784</v>
      </c>
      <c r="C20" s="48">
        <f>IF(B20=0,0,B20/'Summary Load Customers '!$B$22)</f>
        <v>2.6280944639056033E-3</v>
      </c>
      <c r="D20" s="47">
        <f>REC_programs_detail!C29</f>
        <v>64</v>
      </c>
      <c r="E20" s="48">
        <f>IF(D20=0,0,D20/('Summary Load Customers '!$D$22+'Summary Load Customers '!$F$22))</f>
        <v>1.6456249517883316E-3</v>
      </c>
      <c r="F20" s="47">
        <f>B20+D20</f>
        <v>848</v>
      </c>
      <c r="G20" s="48">
        <f>IF(F20=0,0,F20/'Summary Load Customers '!$H$22)</f>
        <v>2.5147832482221551E-3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10" t="str">
        <f>"As the above table shows, "&amp;TEXT(F20,"0,000")&amp;" of UI's customers, or "&amp;TEXT(G20,"0.0%")&amp;" are participating in the REC only program."</f>
        <v>As the above table shows, 0,848 of UI's customers, or 0.3%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5399</v>
      </c>
      <c r="C27" s="48">
        <f>IF(B27=0,0,B27/'Summary Load Customers '!$B$22)</f>
        <v>1.8098318891105039E-2</v>
      </c>
      <c r="D27" s="47">
        <f>D13+D20</f>
        <v>111</v>
      </c>
      <c r="E27" s="48">
        <f>IF(D27=0,0,D27/('Summary Load Customers '!$D$22+'Summary Load Customers '!$F$22))</f>
        <v>2.8541307757578875E-3</v>
      </c>
      <c r="F27" s="47">
        <f>B27+D27</f>
        <v>5510</v>
      </c>
      <c r="G27" s="48">
        <f>IF(F27=0,0,F27/'Summary Load Customers '!$H$22)</f>
        <v>1.6340160020877445E-2</v>
      </c>
    </row>
    <row r="28" spans="1:9" ht="15" x14ac:dyDescent="0.25">
      <c r="G28" s="54"/>
      <c r="H28" s="32"/>
    </row>
    <row r="29" spans="1:9" ht="15" x14ac:dyDescent="0.25">
      <c r="A29" s="110" t="str">
        <f>"As the above table shows, "&amp;TEXT(F27,"0,000")&amp;" of UI's customers, or "&amp;TEXT(G27,"0.0%")&amp;" are participating in the combined REC programs."</f>
        <v>As the above table shows, 5,510 of UI's customers, or 1.6%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101</v>
      </c>
    </row>
    <row r="34" spans="1:1" x14ac:dyDescent="0.2">
      <c r="A34" s="72" t="s">
        <v>97</v>
      </c>
    </row>
    <row r="36" spans="1:1" x14ac:dyDescent="0.2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B28" sqref="B28"/>
    </sheetView>
  </sheetViews>
  <sheetFormatPr defaultColWidth="9.140625" defaultRowHeight="11.25" x14ac:dyDescent="0.2"/>
  <cols>
    <col min="1" max="1" width="28" style="85" customWidth="1"/>
    <col min="2" max="3" width="19.140625" style="85" customWidth="1"/>
    <col min="4" max="4" width="20.28515625" style="85" customWidth="1"/>
    <col min="5" max="5" width="7.140625" style="85" customWidth="1"/>
    <col min="6" max="6" width="23.28515625" style="85" bestFit="1" customWidth="1"/>
    <col min="7" max="7" width="10.42578125" style="85" customWidth="1"/>
    <col min="8" max="16384" width="9.140625" style="85"/>
  </cols>
  <sheetData>
    <row r="1" spans="1:9" s="84" customFormat="1" ht="15" customHeight="1" x14ac:dyDescent="0.2">
      <c r="A1" s="121" t="str">
        <f>'Summary Load Customers '!A1</f>
        <v>The United Illuminating Company</v>
      </c>
      <c r="B1" s="121"/>
      <c r="C1" s="121"/>
      <c r="D1" s="121"/>
      <c r="E1" s="82"/>
      <c r="F1" s="82"/>
      <c r="G1" s="83"/>
    </row>
    <row r="2" spans="1:9" s="10" customFormat="1" ht="18" customHeight="1" x14ac:dyDescent="0.2">
      <c r="A2" s="122" t="s">
        <v>107</v>
      </c>
      <c r="B2" s="122"/>
      <c r="C2" s="122"/>
      <c r="D2" s="122"/>
      <c r="E2" s="28"/>
      <c r="F2" s="28"/>
      <c r="G2" s="29"/>
      <c r="H2" s="30"/>
      <c r="I2" s="30"/>
    </row>
    <row r="3" spans="1:9" s="84" customFormat="1" ht="15" customHeight="1" x14ac:dyDescent="0.2">
      <c r="A3" s="121" t="s">
        <v>62</v>
      </c>
      <c r="B3" s="121"/>
      <c r="C3" s="121"/>
      <c r="D3" s="121"/>
      <c r="E3" s="82"/>
      <c r="F3" s="82"/>
      <c r="G3" s="83"/>
    </row>
    <row r="4" spans="1:9" s="84" customFormat="1" ht="15" customHeight="1" x14ac:dyDescent="0.2">
      <c r="A4" s="121" t="s">
        <v>2</v>
      </c>
      <c r="B4" s="121"/>
      <c r="C4" s="121"/>
      <c r="D4" s="121"/>
      <c r="E4" s="82"/>
      <c r="F4" s="82"/>
      <c r="G4" s="83"/>
    </row>
    <row r="5" spans="1:9" s="84" customFormat="1" ht="15" customHeight="1" x14ac:dyDescent="0.2">
      <c r="A5" s="121" t="str">
        <f>'Summary Load Customers '!A6</f>
        <v>Data as of November 30, 2015</v>
      </c>
      <c r="B5" s="121"/>
      <c r="C5" s="121"/>
      <c r="D5" s="121"/>
      <c r="E5" s="82"/>
      <c r="F5" s="82"/>
      <c r="G5" s="83"/>
    </row>
    <row r="6" spans="1:9" x14ac:dyDescent="0.2">
      <c r="C6" s="86"/>
      <c r="D6" s="86"/>
      <c r="E6" s="86"/>
      <c r="F6" s="86"/>
      <c r="G6" s="86"/>
    </row>
    <row r="7" spans="1:9" s="92" customFormat="1" ht="22.5" x14ac:dyDescent="0.2">
      <c r="A7" s="87" t="s">
        <v>64</v>
      </c>
      <c r="B7" s="88" t="s">
        <v>5</v>
      </c>
      <c r="C7" s="87" t="s">
        <v>6</v>
      </c>
      <c r="D7" s="87" t="s">
        <v>45</v>
      </c>
      <c r="E7" s="89"/>
      <c r="F7" s="89"/>
      <c r="G7" s="90"/>
      <c r="H7" s="91"/>
    </row>
    <row r="8" spans="1:9" x14ac:dyDescent="0.2">
      <c r="A8" s="93" t="s">
        <v>63</v>
      </c>
      <c r="B8" s="94"/>
      <c r="C8" s="95"/>
      <c r="D8" s="96">
        <f>IF(C8=0,0,C8)</f>
        <v>0</v>
      </c>
      <c r="E8" s="86"/>
      <c r="F8" s="86"/>
      <c r="G8" s="97"/>
      <c r="H8" s="86"/>
    </row>
    <row r="9" spans="1:9" x14ac:dyDescent="0.2">
      <c r="A9" s="93" t="s">
        <v>27</v>
      </c>
      <c r="B9" s="95">
        <v>164</v>
      </c>
      <c r="C9" s="95">
        <v>2</v>
      </c>
      <c r="D9" s="96">
        <f>SUM(B9:C9)</f>
        <v>166</v>
      </c>
      <c r="E9" s="98"/>
      <c r="F9" s="98"/>
      <c r="G9" s="97"/>
      <c r="H9" s="86"/>
    </row>
    <row r="10" spans="1:9" x14ac:dyDescent="0.2">
      <c r="A10" s="93" t="s">
        <v>28</v>
      </c>
      <c r="B10" s="95">
        <v>3775</v>
      </c>
      <c r="C10" s="95">
        <v>42</v>
      </c>
      <c r="D10" s="96">
        <f>SUM(B10:C10)</f>
        <v>3817</v>
      </c>
      <c r="E10" s="99"/>
      <c r="F10" s="100"/>
      <c r="G10" s="97"/>
      <c r="H10" s="86"/>
    </row>
    <row r="11" spans="1:9" x14ac:dyDescent="0.2">
      <c r="A11" s="101" t="s">
        <v>7</v>
      </c>
      <c r="B11" s="102">
        <f>IF(B9+B10=0,0,B9+B10)</f>
        <v>3939</v>
      </c>
      <c r="C11" s="102">
        <f>IF(SUM(C8:C10)=0,0,SUM(C8:C10))</f>
        <v>44</v>
      </c>
      <c r="D11" s="102">
        <f>IF(SUM(D8:D10)=0,0,SUM(D8:D10))</f>
        <v>3983</v>
      </c>
      <c r="E11" s="99"/>
      <c r="F11" s="100"/>
      <c r="G11" s="97"/>
      <c r="H11" s="86"/>
    </row>
    <row r="12" spans="1:9" x14ac:dyDescent="0.2">
      <c r="A12" s="86"/>
      <c r="B12" s="103"/>
      <c r="C12" s="103"/>
      <c r="D12" s="103"/>
      <c r="E12" s="99"/>
      <c r="F12" s="100"/>
      <c r="G12" s="104"/>
      <c r="H12" s="86"/>
    </row>
    <row r="13" spans="1:9" ht="22.5" x14ac:dyDescent="0.2">
      <c r="A13" s="87" t="s">
        <v>67</v>
      </c>
      <c r="B13" s="87" t="s">
        <v>5</v>
      </c>
      <c r="C13" s="87" t="str">
        <f>C7</f>
        <v>Business</v>
      </c>
      <c r="D13" s="87" t="s">
        <v>45</v>
      </c>
      <c r="E13" s="105"/>
      <c r="F13" s="106"/>
      <c r="G13" s="104"/>
      <c r="H13" s="86"/>
    </row>
    <row r="14" spans="1:9" x14ac:dyDescent="0.2">
      <c r="A14" s="93" t="s">
        <v>63</v>
      </c>
      <c r="B14" s="94"/>
      <c r="C14" s="95"/>
      <c r="D14" s="96">
        <f>IF(C14=0,0,C14)</f>
        <v>0</v>
      </c>
      <c r="E14" s="86"/>
      <c r="F14" s="86"/>
      <c r="G14" s="104"/>
      <c r="H14" s="86"/>
    </row>
    <row r="15" spans="1:9" x14ac:dyDescent="0.2">
      <c r="A15" s="93" t="s">
        <v>27</v>
      </c>
      <c r="B15" s="95">
        <v>4</v>
      </c>
      <c r="C15" s="95">
        <v>0</v>
      </c>
      <c r="D15" s="96">
        <f>SUM(B15:C15)</f>
        <v>4</v>
      </c>
      <c r="E15" s="98"/>
      <c r="F15" s="98"/>
      <c r="G15" s="97"/>
      <c r="H15" s="86"/>
    </row>
    <row r="16" spans="1:9" x14ac:dyDescent="0.2">
      <c r="A16" s="93" t="s">
        <v>28</v>
      </c>
      <c r="B16" s="95">
        <v>672</v>
      </c>
      <c r="C16" s="95">
        <v>3</v>
      </c>
      <c r="D16" s="96">
        <f>SUM(B16:C16)</f>
        <v>675</v>
      </c>
      <c r="E16" s="99"/>
      <c r="F16" s="100"/>
      <c r="G16" s="97"/>
      <c r="H16" s="86"/>
    </row>
    <row r="17" spans="1:8" x14ac:dyDescent="0.2">
      <c r="A17" s="101" t="str">
        <f>A11</f>
        <v>Total</v>
      </c>
      <c r="B17" s="102">
        <f>IF(B15+B16=0,0,B15+B16)</f>
        <v>676</v>
      </c>
      <c r="C17" s="102">
        <f>IF(SUM(C14:C16)=0,0,SUM(C14:C16))</f>
        <v>3</v>
      </c>
      <c r="D17" s="102">
        <f>IF(SUM(D14:D16)=0,0,SUM(D14:D16))</f>
        <v>679</v>
      </c>
      <c r="E17" s="99"/>
      <c r="F17" s="100"/>
      <c r="G17" s="97"/>
      <c r="H17" s="86"/>
    </row>
    <row r="18" spans="1:8" x14ac:dyDescent="0.2">
      <c r="A18" s="86"/>
      <c r="B18" s="86"/>
      <c r="C18" s="86"/>
      <c r="D18" s="86"/>
      <c r="E18" s="99"/>
      <c r="F18" s="100"/>
      <c r="G18" s="104"/>
      <c r="H18" s="86"/>
    </row>
    <row r="19" spans="1:8" ht="22.5" x14ac:dyDescent="0.2">
      <c r="A19" s="87" t="s">
        <v>68</v>
      </c>
      <c r="B19" s="87" t="s">
        <v>5</v>
      </c>
      <c r="C19" s="87" t="str">
        <f>C7</f>
        <v>Business</v>
      </c>
      <c r="D19" s="87" t="s">
        <v>45</v>
      </c>
      <c r="E19" s="105"/>
      <c r="F19" s="106"/>
      <c r="G19" s="104"/>
      <c r="H19" s="86"/>
    </row>
    <row r="20" spans="1:8" x14ac:dyDescent="0.2">
      <c r="A20" s="93" t="s">
        <v>63</v>
      </c>
      <c r="B20" s="94"/>
      <c r="C20" s="107">
        <f t="shared" ref="C20:D21" si="0">IF(C8+C14=0,0,C8+C14)</f>
        <v>0</v>
      </c>
      <c r="D20" s="96"/>
      <c r="E20" s="104"/>
      <c r="F20" s="104"/>
      <c r="G20" s="104"/>
      <c r="H20" s="86"/>
    </row>
    <row r="21" spans="1:8" x14ac:dyDescent="0.2">
      <c r="A21" s="93" t="s">
        <v>27</v>
      </c>
      <c r="B21" s="107">
        <f>IF(B9+B15=0,0,B9+B15)</f>
        <v>168</v>
      </c>
      <c r="C21" s="107">
        <f>IF(C9+C15=0,0,C9+C15)</f>
        <v>2</v>
      </c>
      <c r="D21" s="96">
        <f t="shared" si="0"/>
        <v>170</v>
      </c>
      <c r="E21" s="97"/>
      <c r="F21" s="104"/>
      <c r="G21" s="104"/>
      <c r="H21" s="86"/>
    </row>
    <row r="22" spans="1:8" x14ac:dyDescent="0.2">
      <c r="A22" s="93" t="s">
        <v>28</v>
      </c>
      <c r="B22" s="107">
        <f>IF(B10+B16=0,0,B10+B16)</f>
        <v>4447</v>
      </c>
      <c r="C22" s="107">
        <f>IF(C10+C16=0,0,C10+C16)</f>
        <v>45</v>
      </c>
      <c r="D22" s="96">
        <f>IF(D10+D16=0,0,D10+D16)</f>
        <v>4492</v>
      </c>
      <c r="E22" s="86"/>
      <c r="F22" s="104"/>
      <c r="G22" s="104"/>
      <c r="H22" s="86"/>
    </row>
    <row r="23" spans="1:8" x14ac:dyDescent="0.2">
      <c r="A23" s="101" t="str">
        <f>A11</f>
        <v>Total</v>
      </c>
      <c r="B23" s="102">
        <f>IF(B21+B22=0,0,B21+B22)</f>
        <v>4615</v>
      </c>
      <c r="C23" s="102">
        <f>IF(SUM(C20:C22)=0,0,SUM(C20:C22))</f>
        <v>47</v>
      </c>
      <c r="D23" s="102">
        <f>SUM(D20:D22)</f>
        <v>4662</v>
      </c>
      <c r="E23" s="86"/>
      <c r="F23" s="104"/>
      <c r="G23" s="104"/>
      <c r="H23" s="86"/>
    </row>
    <row r="24" spans="1:8" x14ac:dyDescent="0.2">
      <c r="B24" s="86"/>
      <c r="C24" s="86"/>
      <c r="E24" s="86"/>
      <c r="F24" s="104"/>
      <c r="G24" s="104"/>
      <c r="H24" s="86"/>
    </row>
    <row r="25" spans="1:8" ht="22.5" x14ac:dyDescent="0.2">
      <c r="A25" s="87" t="s">
        <v>65</v>
      </c>
      <c r="B25" s="87" t="s">
        <v>5</v>
      </c>
      <c r="C25" s="87" t="s">
        <v>6</v>
      </c>
      <c r="D25" s="87" t="s">
        <v>45</v>
      </c>
    </row>
    <row r="26" spans="1:8" x14ac:dyDescent="0.2">
      <c r="A26" s="93" t="s">
        <v>63</v>
      </c>
      <c r="B26" s="94"/>
      <c r="C26" s="107">
        <f>IF(C14+C20=0,0,C14+C20)</f>
        <v>0</v>
      </c>
      <c r="D26" s="96">
        <f>IF(C26=0,0,C26)</f>
        <v>0</v>
      </c>
    </row>
    <row r="27" spans="1:8" x14ac:dyDescent="0.2">
      <c r="A27" s="93" t="s">
        <v>27</v>
      </c>
      <c r="B27" s="95">
        <v>218</v>
      </c>
      <c r="C27" s="95">
        <v>11</v>
      </c>
      <c r="D27" s="96">
        <f>SUM(B27:C27)</f>
        <v>229</v>
      </c>
    </row>
    <row r="28" spans="1:8" x14ac:dyDescent="0.2">
      <c r="A28" s="93" t="s">
        <v>28</v>
      </c>
      <c r="B28" s="95">
        <v>566</v>
      </c>
      <c r="C28" s="95">
        <v>53</v>
      </c>
      <c r="D28" s="96">
        <f>SUM(B28:C28)</f>
        <v>619</v>
      </c>
    </row>
    <row r="29" spans="1:8" x14ac:dyDescent="0.2">
      <c r="A29" s="101" t="str">
        <f>A23</f>
        <v>Total</v>
      </c>
      <c r="B29" s="102">
        <f>IF(B27+B28=0,0,B27+B28)</f>
        <v>784</v>
      </c>
      <c r="C29" s="102">
        <f>IF(SUM(C26:C28)=0,0,SUM(C26:C28))</f>
        <v>64</v>
      </c>
      <c r="D29" s="102">
        <f>IF(SUM(D26:D28)=0,0,SUM(D26:D28))</f>
        <v>848</v>
      </c>
    </row>
    <row r="31" spans="1:8" x14ac:dyDescent="0.2">
      <c r="A31" s="87" t="s">
        <v>66</v>
      </c>
      <c r="B31" s="87" t="s">
        <v>5</v>
      </c>
      <c r="C31" s="87" t="str">
        <f>C19</f>
        <v>Business</v>
      </c>
      <c r="D31" s="87" t="s">
        <v>45</v>
      </c>
    </row>
    <row r="32" spans="1:8" x14ac:dyDescent="0.2">
      <c r="A32" s="93" t="s">
        <v>63</v>
      </c>
      <c r="B32" s="94"/>
      <c r="C32" s="107">
        <f t="shared" ref="C32:D34" si="1">C20+C26</f>
        <v>0</v>
      </c>
      <c r="D32" s="96">
        <f t="shared" si="1"/>
        <v>0</v>
      </c>
    </row>
    <row r="33" spans="1:7" x14ac:dyDescent="0.2">
      <c r="A33" s="93" t="s">
        <v>27</v>
      </c>
      <c r="B33" s="107">
        <f>B21+B27</f>
        <v>386</v>
      </c>
      <c r="C33" s="107">
        <f t="shared" si="1"/>
        <v>13</v>
      </c>
      <c r="D33" s="96">
        <f t="shared" si="1"/>
        <v>399</v>
      </c>
      <c r="E33" s="86"/>
      <c r="F33" s="86"/>
      <c r="G33" s="86"/>
    </row>
    <row r="34" spans="1:7" x14ac:dyDescent="0.2">
      <c r="A34" s="93" t="s">
        <v>28</v>
      </c>
      <c r="B34" s="107">
        <f>B22+B28</f>
        <v>5013</v>
      </c>
      <c r="C34" s="107">
        <f t="shared" si="1"/>
        <v>98</v>
      </c>
      <c r="D34" s="96">
        <f t="shared" si="1"/>
        <v>5111</v>
      </c>
    </row>
    <row r="35" spans="1:7" x14ac:dyDescent="0.2">
      <c r="A35" s="101" t="str">
        <f>A29</f>
        <v>Total</v>
      </c>
      <c r="B35" s="102">
        <f>IF(B33+B34=0,0,B33+B34)</f>
        <v>5399</v>
      </c>
      <c r="C35" s="102">
        <f>IF(SUM(C32:C34)=0,0,SUM(C32:C34))</f>
        <v>111</v>
      </c>
      <c r="D35" s="102">
        <f>SUM(D32:D34)</f>
        <v>5510</v>
      </c>
    </row>
    <row r="37" spans="1:7" x14ac:dyDescent="0.2">
      <c r="A37" s="108" t="str">
        <f>"In summary, "&amp;TEXT($D$23,"0,000")&amp; " of UI's customers are participating in the CTCleanEnergyOptions Program"</f>
        <v>In summary, 4,662 of UI's customers are participating in the CTCleanEnergyOptions Program</v>
      </c>
    </row>
    <row r="38" spans="1:7" x14ac:dyDescent="0.2">
      <c r="A38" s="108" t="str">
        <f>"In summary, "&amp;TEXT($D$29,"000")&amp; " of UI's customers are participating in RECs only with Sterling Planet"</f>
        <v>In summary, 848 of UI's customers are participating in RECs only with Sterling Planet</v>
      </c>
    </row>
    <row r="39" spans="1:7" x14ac:dyDescent="0.2">
      <c r="A39" s="108" t="str">
        <f>"In summary, "&amp;TEXT($D$35,"0,000")&amp; " of UI's customers are participating in all REC programs"</f>
        <v>In summary, 5,510 of UI's customers are participating in all REC programs</v>
      </c>
    </row>
    <row r="41" spans="1:7" x14ac:dyDescent="0.2">
      <c r="A41" s="109" t="s">
        <v>33</v>
      </c>
    </row>
    <row r="42" spans="1:7" x14ac:dyDescent="0.2">
      <c r="A42" s="86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 DeFrancesco</cp:lastModifiedBy>
  <cp:lastPrinted>2015-12-16T19:54:12Z</cp:lastPrinted>
  <dcterms:created xsi:type="dcterms:W3CDTF">2009-03-17T13:14:28Z</dcterms:created>
  <dcterms:modified xsi:type="dcterms:W3CDTF">2016-03-08T16:31:01Z</dcterms:modified>
</cp:coreProperties>
</file>