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570" windowWidth="12735" windowHeight="3615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E27" i="6" l="1"/>
  <c r="E63" i="6" s="1"/>
  <c r="C63" i="6"/>
  <c r="D63" i="6"/>
  <c r="E10" i="6" l="1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9" i="6"/>
  <c r="F34" i="6" l="1"/>
  <c r="F36" i="6"/>
  <c r="F37" i="6"/>
  <c r="F38" i="6"/>
  <c r="F41" i="6"/>
  <c r="F42" i="6"/>
  <c r="F44" i="6"/>
  <c r="F45" i="6"/>
  <c r="F46" i="6"/>
  <c r="F47" i="6"/>
  <c r="F49" i="6"/>
  <c r="F50" i="6"/>
  <c r="F53" i="6"/>
  <c r="F54" i="6"/>
  <c r="F57" i="6"/>
  <c r="F58" i="6"/>
  <c r="F59" i="6"/>
  <c r="F61" i="6"/>
  <c r="F62" i="6"/>
  <c r="F35" i="6"/>
  <c r="F60" i="6" l="1"/>
  <c r="F56" i="6"/>
  <c r="F52" i="6"/>
  <c r="F48" i="6"/>
  <c r="F40" i="6"/>
  <c r="F63" i="6"/>
  <c r="F55" i="6"/>
  <c r="F51" i="6"/>
  <c r="F43" i="6"/>
  <c r="F39" i="6"/>
  <c r="F13" i="6" l="1"/>
  <c r="F12" i="6" l="1"/>
  <c r="F9" i="6"/>
  <c r="F13" i="7"/>
  <c r="A5" i="5" l="1"/>
  <c r="C22" i="5" l="1"/>
  <c r="B22" i="5"/>
  <c r="C21" i="5"/>
  <c r="B21" i="5"/>
  <c r="H12" i="7" l="1"/>
  <c r="F15" i="6" l="1"/>
  <c r="B34" i="5" l="1"/>
  <c r="C34" i="5"/>
  <c r="B33" i="5"/>
  <c r="C33" i="5"/>
  <c r="A6" i="8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/>
  <c r="H11" i="7"/>
  <c r="A1" i="6"/>
  <c r="A1" i="5"/>
  <c r="C17" i="5"/>
  <c r="C11" i="5"/>
  <c r="B11" i="5"/>
  <c r="B17" i="5"/>
  <c r="A5" i="6"/>
  <c r="A22" i="7"/>
  <c r="A21" i="7"/>
  <c r="D10" i="7"/>
  <c r="F10" i="7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D22" i="5" l="1"/>
  <c r="D34" i="5" s="1"/>
  <c r="D21" i="5"/>
  <c r="D33" i="5" s="1"/>
  <c r="F20" i="8"/>
  <c r="E20" i="7"/>
  <c r="C12" i="7"/>
  <c r="G20" i="7"/>
  <c r="D29" i="5"/>
  <c r="A38" i="5" s="1"/>
  <c r="G11" i="7"/>
  <c r="H13" i="7"/>
  <c r="I11" i="7" s="1"/>
  <c r="A14" i="7" s="1"/>
  <c r="E20" i="8"/>
  <c r="H22" i="7"/>
  <c r="I21" i="7" s="1"/>
  <c r="A25" i="7" s="1"/>
  <c r="C21" i="7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30" i="6" l="1"/>
  <c r="F11" i="6"/>
  <c r="F14" i="6"/>
  <c r="F16" i="6"/>
  <c r="F18" i="6"/>
  <c r="F20" i="6"/>
  <c r="F22" i="6"/>
  <c r="F24" i="6"/>
  <c r="F26" i="6"/>
  <c r="F29" i="6"/>
  <c r="F32" i="6"/>
  <c r="F10" i="6"/>
  <c r="F17" i="6"/>
  <c r="F19" i="6"/>
  <c r="F21" i="6"/>
  <c r="F23" i="6"/>
  <c r="F25" i="6"/>
  <c r="F28" i="6"/>
  <c r="F31" i="6"/>
  <c r="F33" i="6"/>
  <c r="F13" i="8"/>
  <c r="G13" i="8" s="1"/>
  <c r="A15" i="8" s="1"/>
  <c r="B27" i="8"/>
  <c r="C27" i="8" s="1"/>
  <c r="I12" i="7"/>
  <c r="A15" i="7" s="1"/>
  <c r="I20" i="7"/>
  <c r="A24" i="7" s="1"/>
  <c r="D35" i="5"/>
  <c r="A39" i="5" s="1"/>
  <c r="D23" i="5"/>
  <c r="A37" i="5" s="1"/>
  <c r="G20" i="8"/>
  <c r="A22" i="8" s="1"/>
  <c r="E13" i="8"/>
  <c r="D27" i="8"/>
  <c r="E27" i="8" s="1"/>
  <c r="F27" i="8" l="1"/>
  <c r="G27" i="8" l="1"/>
  <c r="A29" i="8" s="1"/>
</calcChain>
</file>

<file path=xl/sharedStrings.xml><?xml version="1.0" encoding="utf-8"?>
<sst xmlns="http://schemas.openxmlformats.org/spreadsheetml/2006/main" count="176" uniqueCount="111">
  <si>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</si>
  <si>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</si>
  <si>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</si>
  <si>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</si>
  <si>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</si>
  <si>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</si>
  <si>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</si>
  <si>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</si>
  <si>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</si>
  <si>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</si>
  <si>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</si>
  <si>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</si>
  <si>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</si>
  <si>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</si>
  <si>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</si>
  <si>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</si>
  <si>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</si>
  <si>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</si>
  <si>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</si>
  <si>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</si>
  <si>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</si>
  <si>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</si>
  <si>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</si>
  <si>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</si>
  <si>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</si>
  <si>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</si>
  <si>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</si>
  <si>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</si>
  <si>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</si>
  <si>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</si>
  <si>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</si>
  <si>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</si>
  <si>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</si>
  <si>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</si>
  <si>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</si>
  <si>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</si>
  <si>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</si>
  <si>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</si>
  <si>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</si>
  <si>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</si>
  <si>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</si>
  <si>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</si>
  <si>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</si>
  <si>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</si>
  <si>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</si>
  <si>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</si>
  <si>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</si>
  <si>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</si>
  <si>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</si>
  <si>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</si>
  <si>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</si>
  <si>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</si>
  <si>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</si>
  <si>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</si>
  <si>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</si>
  <si>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</si>
  <si>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</si>
  <si>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</si>
  <si>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</si>
  <si>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</si>
  <si>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</si>
  <si>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</si>
  <si>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</si>
  <si>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</si>
  <si>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</si>
  <si>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</si>
  <si>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</si>
  <si>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</si>
  <si>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</si>
  <si>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</si>
  <si>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</si>
  <si>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</si>
  <si>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</si>
  <si>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</si>
  <si>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</si>
  <si>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</si>
  <si>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</si>
  <si>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</si>
  <si>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</si>
  <si>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</si>
  <si>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</si>
  <si>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</si>
  <si>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</si>
  <si>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</si>
  <si>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</si>
  <si>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</si>
  <si>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</si>
  <si>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</si>
  <si>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</si>
  <si>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</si>
  <si>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</si>
  <si>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</si>
  <si>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</si>
  <si>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</si>
  <si>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</si>
  <si>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</si>
  <si>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</si>
  <si>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</si>
  <si>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</si>
  <si>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</si>
  <si>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</si>
  <si>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</si>
  <si>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</si>
  <si>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</si>
  <si>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</si>
  <si>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Town Square Energy (F/K/A Community Power)</t>
  </si>
  <si>
    <t>Think Energy</t>
  </si>
  <si>
    <t>Attachment 1</t>
  </si>
  <si>
    <t>Agera Energy, LLC</t>
  </si>
  <si>
    <t>Data as of May 31, 2016</t>
  </si>
  <si>
    <t>First Point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</si>
</sst>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0" fontId="9" fillId="0" borderId="2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1" fillId="0" borderId="2" xfId="0" applyFont="1" applyFill="1" applyBorder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3" fontId="9" fillId="0" borderId="13" xfId="0" applyNumberFormat="1" applyFont="1" applyFill="1" applyBorder="1" applyAlignment="1" applyProtection="1">
      <alignment horizontal="center"/>
      <protection locked="0"/>
    </xf>
    <xf numFmtId="14" fontId="10" fillId="0" borderId="0" xfId="0" applyNumberFormat="1" applyFont="1" applyFill="1" applyProtection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topLeftCell="A4" zoomScaleNormal="100" workbookViewId="0">
      <selection activeCell="K7" sqref="K7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">
      <c r="A2" s="27" t="s">
        <v>107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">
      <c r="A3" s="27" t="s">
        <v>57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">
      <c r="A4" s="27" t="s">
        <v>39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">
      <c r="A6" s="26" t="s">
        <v>109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">
      <c r="A8" s="33" t="s">
        <v>42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">
      <c r="A9" s="3"/>
      <c r="B9" s="36" t="s">
        <v>43</v>
      </c>
      <c r="C9" s="37"/>
      <c r="D9" s="36" t="s">
        <v>8</v>
      </c>
      <c r="E9" s="38"/>
      <c r="F9" s="36" t="s">
        <v>9</v>
      </c>
      <c r="G9" s="39"/>
      <c r="H9" s="36" t="s">
        <v>45</v>
      </c>
      <c r="I9" s="38"/>
    </row>
    <row r="10" spans="1:15" ht="18" customHeight="1" x14ac:dyDescent="0.2">
      <c r="A10" s="41"/>
      <c r="B10" s="42" t="s">
        <v>11</v>
      </c>
      <c r="C10" s="43" t="s">
        <v>32</v>
      </c>
      <c r="D10" s="42" t="str">
        <f>B10</f>
        <v>MWh</v>
      </c>
      <c r="E10" s="43" t="s">
        <v>32</v>
      </c>
      <c r="F10" s="42" t="str">
        <f>D10</f>
        <v>MWh</v>
      </c>
      <c r="G10" s="43" t="s">
        <v>32</v>
      </c>
      <c r="H10" s="42" t="str">
        <f>F10</f>
        <v>MWh</v>
      </c>
      <c r="I10" s="43" t="s">
        <v>31</v>
      </c>
    </row>
    <row r="11" spans="1:15" ht="18" customHeight="1" x14ac:dyDescent="0.2">
      <c r="A11" s="44" t="s">
        <v>13</v>
      </c>
      <c r="B11" s="74">
        <v>56790.708999999981</v>
      </c>
      <c r="C11" s="45">
        <f>IF(B11=0,0,B11/$B$13)</f>
        <v>0.40215200542784413</v>
      </c>
      <c r="D11" s="74">
        <v>131636.36006400036</v>
      </c>
      <c r="E11" s="45">
        <f>IF(D11=0,0,D11/$D$13)</f>
        <v>0.75299586990484779</v>
      </c>
      <c r="F11" s="74">
        <v>99630.436936000115</v>
      </c>
      <c r="G11" s="45">
        <f>IF(F11=0,0,F11/$F$13)</f>
        <v>0.96107313012417495</v>
      </c>
      <c r="H11" s="46">
        <f>IF(B11+D11+F11=0,0,B11+D11+F11)</f>
        <v>288057.50600000046</v>
      </c>
      <c r="I11" s="45">
        <f>IF(H11=0,0,H11/$H$13)</f>
        <v>0.68634195887226912</v>
      </c>
    </row>
    <row r="12" spans="1:15" ht="18" customHeight="1" x14ac:dyDescent="0.2">
      <c r="A12" s="44" t="s">
        <v>15</v>
      </c>
      <c r="B12" s="75">
        <v>84426.313999999998</v>
      </c>
      <c r="C12" s="45">
        <f>IF(B12=0,0,B12/$B$13)</f>
        <v>0.59784799457215587</v>
      </c>
      <c r="D12" s="75">
        <v>43180.482000000011</v>
      </c>
      <c r="E12" s="45">
        <f>IF(D12=0,0,D12/$D$13)</f>
        <v>0.24700413009515212</v>
      </c>
      <c r="F12" s="75">
        <v>4035.3860000000009</v>
      </c>
      <c r="G12" s="45">
        <f>IF(F12=0,0,F12/$F$13)</f>
        <v>3.8926869875825096E-2</v>
      </c>
      <c r="H12" s="112">
        <f>IF(B12+D12+F12=0,0,B12+D12+F12)</f>
        <v>131642.182</v>
      </c>
      <c r="I12" s="45">
        <f>IF(H12=0,0,H12/$H$13)</f>
        <v>0.31365804112773099</v>
      </c>
    </row>
    <row r="13" spans="1:15" ht="18" customHeight="1" x14ac:dyDescent="0.2">
      <c r="A13" s="44" t="s">
        <v>16</v>
      </c>
      <c r="B13" s="47">
        <f>SUM(B11:B12)</f>
        <v>141217.02299999999</v>
      </c>
      <c r="C13" s="48"/>
      <c r="D13" s="47">
        <f>SUM(D11:D12)</f>
        <v>174816.84206400038</v>
      </c>
      <c r="E13" s="48"/>
      <c r="F13" s="47">
        <f>SUM(F11:F12)</f>
        <v>103665.82293600011</v>
      </c>
      <c r="G13" s="48"/>
      <c r="H13" s="47">
        <f>IF(H11+H12=0,0,H11+H12)</f>
        <v>419699.68800000043</v>
      </c>
      <c r="I13" s="49"/>
    </row>
    <row r="14" spans="1:15" ht="18" customHeight="1" x14ac:dyDescent="0.2">
      <c r="A14" s="108" t="str">
        <f>"As the above table shows, "&amp;TEXT(H11,"0,000")&amp; " MWh, or "&amp;TEXT(I11,"0.0%")&amp;" of UI's total load is served by electric suppliers"</f>
        <v>As the above table shows, 288,058 MWh, or 68.6% of UI's total load is served by electric suppliers</v>
      </c>
      <c r="H14" s="32"/>
      <c r="L14" s="111"/>
      <c r="M14" s="111"/>
      <c r="O14" s="111"/>
    </row>
    <row r="15" spans="1:15" ht="18" customHeight="1" x14ac:dyDescent="0.25">
      <c r="A15" s="108" t="str">
        <f>"while "&amp;TEXT(H12,"0,000")&amp;" MHh, or "&amp;TEXT(I12,"0.0%")&amp;" of the load is provided under Standard Service or Last Resort service through UI."</f>
        <v>while 131,642 MHh, or 31.4%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5" x14ac:dyDescent="0.25">
      <c r="G16" s="54"/>
      <c r="H16" s="32"/>
    </row>
    <row r="17" spans="1:17" ht="18" customHeight="1" x14ac:dyDescent="0.2">
      <c r="A17" s="33" t="s">
        <v>41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43</v>
      </c>
      <c r="C18" s="56"/>
      <c r="D18" s="36" t="s">
        <v>8</v>
      </c>
      <c r="E18" s="57"/>
      <c r="F18" s="36" t="s">
        <v>9</v>
      </c>
      <c r="G18" s="39"/>
      <c r="H18" s="36" t="s">
        <v>45</v>
      </c>
      <c r="I18" s="38"/>
      <c r="O18" s="109"/>
    </row>
    <row r="19" spans="1:17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D19</f>
        <v>Customers</v>
      </c>
      <c r="G19" s="43" t="s">
        <v>32</v>
      </c>
      <c r="H19" s="42" t="str">
        <f>F19</f>
        <v>Customers</v>
      </c>
      <c r="I19" s="43" t="s">
        <v>31</v>
      </c>
    </row>
    <row r="20" spans="1:17" ht="18" customHeight="1" x14ac:dyDescent="0.2">
      <c r="A20" s="44" t="str">
        <f>A11</f>
        <v>Suppliers</v>
      </c>
      <c r="B20" s="74">
        <v>109772</v>
      </c>
      <c r="C20" s="45">
        <f>IF(B20=0,0,B20/$B$22)</f>
        <v>0.36786863270777481</v>
      </c>
      <c r="D20" s="74">
        <v>21180</v>
      </c>
      <c r="E20" s="58">
        <f>IF(D20=0,0,D20/$D$22)</f>
        <v>0.54766891629819259</v>
      </c>
      <c r="F20" s="74">
        <v>233</v>
      </c>
      <c r="G20" s="45">
        <f>IF(F20=0,0,F20/$F$22)</f>
        <v>0.93951612903225812</v>
      </c>
      <c r="H20" s="46">
        <f>IF(B20+D20+F20=0,0,B20+D20+F20)</f>
        <v>131185</v>
      </c>
      <c r="I20" s="45">
        <f>IF(H20=0,0,H20/$H$22)</f>
        <v>0.38890255869038692</v>
      </c>
      <c r="J20" s="59"/>
      <c r="M20" s="111"/>
    </row>
    <row r="21" spans="1:17" ht="18" customHeight="1" x14ac:dyDescent="0.2">
      <c r="A21" s="44" t="str">
        <f>A12</f>
        <v>UI</v>
      </c>
      <c r="B21" s="75">
        <v>188628</v>
      </c>
      <c r="C21" s="45">
        <f>IF(B21=0,0,B21/$B$22)</f>
        <v>0.63213136729222519</v>
      </c>
      <c r="D21" s="75">
        <v>17493</v>
      </c>
      <c r="E21" s="58">
        <f>IF(D21=0,0,D21/$D$22)</f>
        <v>0.45233108370180747</v>
      </c>
      <c r="F21" s="75">
        <v>15</v>
      </c>
      <c r="G21" s="45">
        <f>IF(F21=0,0,F21/$F$22)</f>
        <v>6.0483870967741937E-2</v>
      </c>
      <c r="H21" s="75">
        <f>IF(B21+D21+F21=0,0,B21+D21+F21)</f>
        <v>206136</v>
      </c>
      <c r="I21" s="45">
        <f>IF(H21=0,0,H21/$H$22)</f>
        <v>0.61109744130961308</v>
      </c>
    </row>
    <row r="22" spans="1:17" ht="18" customHeight="1" x14ac:dyDescent="0.2">
      <c r="A22" s="44" t="str">
        <f>A13</f>
        <v xml:space="preserve">     Total</v>
      </c>
      <c r="B22" s="47">
        <f>SUM(B20:B21)</f>
        <v>298400</v>
      </c>
      <c r="C22" s="60"/>
      <c r="D22" s="47">
        <f>SUM(D20:D21)</f>
        <v>38673</v>
      </c>
      <c r="E22" s="48"/>
      <c r="F22" s="47">
        <f>SUM(F20:F21)</f>
        <v>248</v>
      </c>
      <c r="G22" s="48"/>
      <c r="H22" s="47">
        <f>IF(H20+H21=0,0,H20+H21)</f>
        <v>337321</v>
      </c>
      <c r="I22" s="49"/>
      <c r="N22" s="111"/>
      <c r="Q22" s="111"/>
    </row>
    <row r="23" spans="1:17" ht="18" customHeight="1" x14ac:dyDescent="0.25">
      <c r="G23" s="54"/>
      <c r="H23" s="32"/>
    </row>
    <row r="24" spans="1:17" ht="18" customHeight="1" x14ac:dyDescent="0.25">
      <c r="A24" s="108" t="str">
        <f>"As the above table shows, "&amp;TEXT(H20,"0,000")&amp; " of UI's total customers, or "&amp;TEXT(I20,"0.0%")&amp;" are served by electric suppliers"</f>
        <v>As the above table shows, 131,185 of UI's total customers, or 38.9% are served by electric suppliers</v>
      </c>
      <c r="G24" s="54"/>
      <c r="H24" s="32"/>
      <c r="J24" s="111"/>
    </row>
    <row r="25" spans="1:17" ht="18" customHeight="1" x14ac:dyDescent="0.25">
      <c r="A25" s="108" t="str">
        <f>"while "&amp;TEXT(H21,"0,000")&amp;" or "&amp;TEXT(I21,"0.0%")&amp;" of the customers continue to receive Standard Service or Last Resort service through UI."</f>
        <v>while 206,136 or 61.1%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5" x14ac:dyDescent="0.2">
      <c r="A28" s="71" t="s">
        <v>40</v>
      </c>
      <c r="I28" s="111"/>
    </row>
    <row r="29" spans="1:17" ht="13.5" x14ac:dyDescent="0.2">
      <c r="A29" s="71" t="s">
        <v>44</v>
      </c>
    </row>
    <row r="30" spans="1:17" ht="13.5" x14ac:dyDescent="0.2">
      <c r="A30" s="71" t="s">
        <v>79</v>
      </c>
    </row>
    <row r="31" spans="1:17" x14ac:dyDescent="0.2">
      <c r="A31" s="72" t="s">
        <v>30</v>
      </c>
    </row>
    <row r="32" spans="1:17" x14ac:dyDescent="0.2">
      <c r="A32" s="72" t="s">
        <v>36</v>
      </c>
    </row>
    <row r="36" spans="1:1" x14ac:dyDescent="0.2">
      <c r="A36" s="111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showZeros="0" topLeftCell="A43" zoomScaleNormal="100" workbookViewId="0">
      <selection activeCell="F29" sqref="F29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17" t="s">
        <v>107</v>
      </c>
      <c r="B2" s="117"/>
      <c r="C2" s="117"/>
      <c r="D2" s="117"/>
      <c r="E2" s="117"/>
      <c r="F2" s="117"/>
      <c r="G2" s="29"/>
      <c r="H2" s="30"/>
      <c r="I2" s="30"/>
    </row>
    <row r="3" spans="1:11" s="10" customFormat="1" ht="18" customHeight="1" x14ac:dyDescent="0.2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">
      <c r="A5" s="11" t="str">
        <f>'Summary Load Customers '!A6</f>
        <v>Data as of May 31, 2016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">
      <c r="A6" s="18"/>
      <c r="B6" s="7"/>
      <c r="C6" s="19"/>
      <c r="D6" s="19"/>
      <c r="E6" s="13"/>
      <c r="F6" s="13"/>
    </row>
    <row r="7" spans="1:11" s="10" customFormat="1" ht="18" customHeight="1" x14ac:dyDescent="0.2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5.5" x14ac:dyDescent="0.2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37</v>
      </c>
    </row>
    <row r="9" spans="1:11" ht="14.25" customHeight="1" x14ac:dyDescent="0.2">
      <c r="A9" s="23">
        <v>1</v>
      </c>
      <c r="B9" s="24" t="s">
        <v>89</v>
      </c>
      <c r="C9" s="77">
        <v>1241</v>
      </c>
      <c r="D9" s="77">
        <v>435</v>
      </c>
      <c r="E9" s="113">
        <f t="shared" ref="E9:E62" si="0">IF(SUM(C9:D9)=0,0,SUM(C9:D9))</f>
        <v>1676</v>
      </c>
      <c r="F9" s="25">
        <f t="shared" ref="F9:F63" si="1">IF(E9=0,"",E9/$E$63)</f>
        <v>1.2775850897587376E-2</v>
      </c>
    </row>
    <row r="10" spans="1:11" ht="14.25" customHeight="1" x14ac:dyDescent="0.2">
      <c r="A10" s="23">
        <v>2</v>
      </c>
      <c r="B10" s="24" t="s">
        <v>88</v>
      </c>
      <c r="C10" s="77">
        <v>688</v>
      </c>
      <c r="D10" s="77">
        <v>485</v>
      </c>
      <c r="E10" s="113">
        <f t="shared" si="0"/>
        <v>1173</v>
      </c>
      <c r="F10" s="25">
        <f t="shared" si="1"/>
        <v>8.9415710637649123E-3</v>
      </c>
    </row>
    <row r="11" spans="1:11" ht="14.25" customHeight="1" x14ac:dyDescent="0.2">
      <c r="A11" s="23">
        <v>3</v>
      </c>
      <c r="B11" s="24" t="s">
        <v>108</v>
      </c>
      <c r="C11" s="77">
        <v>177</v>
      </c>
      <c r="D11" s="77">
        <v>216</v>
      </c>
      <c r="E11" s="113">
        <f t="shared" si="0"/>
        <v>393</v>
      </c>
      <c r="F11" s="25">
        <f t="shared" si="1"/>
        <v>2.995769333384152E-3</v>
      </c>
    </row>
    <row r="12" spans="1:11" ht="14.25" customHeight="1" x14ac:dyDescent="0.2">
      <c r="A12" s="23">
        <v>4</v>
      </c>
      <c r="B12" s="110" t="s">
        <v>83</v>
      </c>
      <c r="C12" s="77">
        <v>10657</v>
      </c>
      <c r="D12" s="77">
        <v>874</v>
      </c>
      <c r="E12" s="113">
        <f t="shared" si="0"/>
        <v>11531</v>
      </c>
      <c r="F12" s="25">
        <f t="shared" si="1"/>
        <v>8.78987689141289E-2</v>
      </c>
    </row>
    <row r="13" spans="1:11" ht="14.25" customHeight="1" x14ac:dyDescent="0.2">
      <c r="A13" s="23">
        <v>5</v>
      </c>
      <c r="B13" s="110" t="s">
        <v>94</v>
      </c>
      <c r="C13" s="77">
        <v>0</v>
      </c>
      <c r="D13" s="77">
        <v>0</v>
      </c>
      <c r="E13" s="113">
        <f t="shared" si="0"/>
        <v>0</v>
      </c>
      <c r="F13" s="25" t="str">
        <f t="shared" si="1"/>
        <v/>
      </c>
    </row>
    <row r="14" spans="1:11" ht="14.25" customHeight="1" x14ac:dyDescent="0.2">
      <c r="A14" s="23">
        <v>6</v>
      </c>
      <c r="B14" s="24" t="s">
        <v>104</v>
      </c>
      <c r="C14" s="77">
        <v>0</v>
      </c>
      <c r="D14" s="77">
        <v>18</v>
      </c>
      <c r="E14" s="113">
        <f t="shared" si="0"/>
        <v>18</v>
      </c>
      <c r="F14" s="25">
        <f t="shared" si="1"/>
        <v>1.3721080916263292E-4</v>
      </c>
    </row>
    <row r="15" spans="1:11" ht="14.25" customHeight="1" x14ac:dyDescent="0.2">
      <c r="A15" s="23">
        <v>7</v>
      </c>
      <c r="B15" s="24" t="s">
        <v>54</v>
      </c>
      <c r="C15" s="77">
        <v>1229</v>
      </c>
      <c r="D15" s="77">
        <v>40</v>
      </c>
      <c r="E15" s="113">
        <f t="shared" si="0"/>
        <v>1269</v>
      </c>
      <c r="F15" s="25">
        <f t="shared" si="1"/>
        <v>9.6733620459656215E-3</v>
      </c>
    </row>
    <row r="16" spans="1:11" ht="14.25" customHeight="1" x14ac:dyDescent="0.2">
      <c r="A16" s="23">
        <v>8</v>
      </c>
      <c r="B16" s="24" t="s">
        <v>53</v>
      </c>
      <c r="C16" s="77">
        <v>0</v>
      </c>
      <c r="D16" s="77">
        <v>0</v>
      </c>
      <c r="E16" s="113">
        <f t="shared" si="0"/>
        <v>0</v>
      </c>
      <c r="F16" s="25" t="str">
        <f t="shared" si="1"/>
        <v/>
      </c>
    </row>
    <row r="17" spans="1:6" ht="14.25" customHeight="1" x14ac:dyDescent="0.2">
      <c r="A17" s="23">
        <v>9</v>
      </c>
      <c r="B17" s="24" t="s">
        <v>10</v>
      </c>
      <c r="C17" s="77">
        <v>3485</v>
      </c>
      <c r="D17" s="77">
        <v>18</v>
      </c>
      <c r="E17" s="113">
        <f t="shared" si="0"/>
        <v>3503</v>
      </c>
      <c r="F17" s="25">
        <f t="shared" si="1"/>
        <v>2.6702748027594619E-2</v>
      </c>
    </row>
    <row r="18" spans="1:6" ht="14.25" customHeight="1" x14ac:dyDescent="0.2">
      <c r="A18" s="23">
        <v>10</v>
      </c>
      <c r="B18" s="110" t="s">
        <v>12</v>
      </c>
      <c r="C18" s="77">
        <v>9926</v>
      </c>
      <c r="D18" s="77">
        <v>1255</v>
      </c>
      <c r="E18" s="113">
        <f t="shared" si="0"/>
        <v>11181</v>
      </c>
      <c r="F18" s="25">
        <f t="shared" si="1"/>
        <v>8.5230780958188812E-2</v>
      </c>
    </row>
    <row r="19" spans="1:6" ht="14.25" customHeight="1" x14ac:dyDescent="0.2">
      <c r="A19" s="23">
        <v>11</v>
      </c>
      <c r="B19" s="24" t="s">
        <v>85</v>
      </c>
      <c r="C19" s="77">
        <v>3852</v>
      </c>
      <c r="D19" s="77">
        <v>100</v>
      </c>
      <c r="E19" s="113">
        <f t="shared" si="0"/>
        <v>3952</v>
      </c>
      <c r="F19" s="25">
        <f t="shared" si="1"/>
        <v>3.0125395433929184E-2</v>
      </c>
    </row>
    <row r="20" spans="1:6" ht="14.25" customHeight="1" x14ac:dyDescent="0.2">
      <c r="A20" s="23">
        <v>12</v>
      </c>
      <c r="B20" s="24" t="s">
        <v>14</v>
      </c>
      <c r="C20" s="77">
        <v>377</v>
      </c>
      <c r="D20" s="77">
        <v>2942</v>
      </c>
      <c r="E20" s="113">
        <f t="shared" si="0"/>
        <v>3319</v>
      </c>
      <c r="F20" s="25">
        <f t="shared" si="1"/>
        <v>2.530014864504326E-2</v>
      </c>
    </row>
    <row r="21" spans="1:6" ht="14.25" customHeight="1" x14ac:dyDescent="0.2">
      <c r="A21" s="23">
        <v>13</v>
      </c>
      <c r="B21" s="110" t="s">
        <v>82</v>
      </c>
      <c r="C21" s="77">
        <v>850</v>
      </c>
      <c r="D21" s="77">
        <v>104</v>
      </c>
      <c r="E21" s="113">
        <f t="shared" si="0"/>
        <v>954</v>
      </c>
      <c r="F21" s="25">
        <f t="shared" si="1"/>
        <v>7.2721728856195451E-3</v>
      </c>
    </row>
    <row r="22" spans="1:6" ht="14.25" customHeight="1" x14ac:dyDescent="0.2">
      <c r="A22" s="23">
        <v>14</v>
      </c>
      <c r="B22" s="110" t="s">
        <v>98</v>
      </c>
      <c r="C22" s="77">
        <v>37</v>
      </c>
      <c r="D22" s="77">
        <v>919</v>
      </c>
      <c r="E22" s="113">
        <f t="shared" si="0"/>
        <v>956</v>
      </c>
      <c r="F22" s="25">
        <f t="shared" si="1"/>
        <v>7.2874185310820598E-3</v>
      </c>
    </row>
    <row r="23" spans="1:6" ht="14.25" customHeight="1" x14ac:dyDescent="0.2">
      <c r="A23" s="23">
        <v>15</v>
      </c>
      <c r="B23" s="78" t="s">
        <v>99</v>
      </c>
      <c r="C23" s="77">
        <v>13360</v>
      </c>
      <c r="D23" s="77">
        <v>2751</v>
      </c>
      <c r="E23" s="113">
        <f t="shared" si="0"/>
        <v>16111</v>
      </c>
      <c r="F23" s="25">
        <f t="shared" si="1"/>
        <v>0.12281129702328772</v>
      </c>
    </row>
    <row r="24" spans="1:6" ht="14.25" customHeight="1" x14ac:dyDescent="0.2">
      <c r="A24" s="23">
        <v>16</v>
      </c>
      <c r="B24" s="110" t="s">
        <v>50</v>
      </c>
      <c r="C24" s="77">
        <v>4680</v>
      </c>
      <c r="D24" s="77">
        <v>359</v>
      </c>
      <c r="E24" s="113">
        <f t="shared" si="0"/>
        <v>5039</v>
      </c>
      <c r="F24" s="25">
        <f t="shared" si="1"/>
        <v>3.8411403742805959E-2</v>
      </c>
    </row>
    <row r="25" spans="1:6" ht="14.25" customHeight="1" x14ac:dyDescent="0.2">
      <c r="A25" s="23">
        <v>17</v>
      </c>
      <c r="B25" s="78" t="s">
        <v>91</v>
      </c>
      <c r="C25" s="77">
        <v>0</v>
      </c>
      <c r="D25" s="77">
        <v>0</v>
      </c>
      <c r="E25" s="113">
        <f t="shared" si="0"/>
        <v>0</v>
      </c>
      <c r="F25" s="25" t="str">
        <f t="shared" si="1"/>
        <v/>
      </c>
    </row>
    <row r="26" spans="1:6" ht="14.25" customHeight="1" x14ac:dyDescent="0.2">
      <c r="A26" s="23">
        <v>18</v>
      </c>
      <c r="B26" s="24" t="s">
        <v>46</v>
      </c>
      <c r="C26" s="77">
        <v>1001</v>
      </c>
      <c r="D26" s="77">
        <v>189</v>
      </c>
      <c r="E26" s="113">
        <f t="shared" si="0"/>
        <v>1190</v>
      </c>
      <c r="F26" s="25">
        <f t="shared" si="1"/>
        <v>9.0711590501962869E-3</v>
      </c>
    </row>
    <row r="27" spans="1:6" ht="14.25" customHeight="1" x14ac:dyDescent="0.2">
      <c r="A27" s="23">
        <v>19</v>
      </c>
      <c r="B27" s="24" t="s">
        <v>110</v>
      </c>
      <c r="C27" s="77">
        <v>0</v>
      </c>
      <c r="D27" s="77">
        <v>1</v>
      </c>
      <c r="E27" s="113">
        <f t="shared" si="0"/>
        <v>1</v>
      </c>
      <c r="F27" s="25"/>
    </row>
    <row r="28" spans="1:6" ht="14.25" customHeight="1" x14ac:dyDescent="0.2">
      <c r="A28" s="23">
        <v>20</v>
      </c>
      <c r="B28" s="24" t="s">
        <v>17</v>
      </c>
      <c r="C28" s="77">
        <v>0</v>
      </c>
      <c r="D28" s="77">
        <v>0</v>
      </c>
      <c r="E28" s="113">
        <f t="shared" si="0"/>
        <v>0</v>
      </c>
      <c r="F28" s="25" t="str">
        <f t="shared" si="1"/>
        <v/>
      </c>
    </row>
    <row r="29" spans="1:6" ht="14.25" customHeight="1" x14ac:dyDescent="0.2">
      <c r="A29" s="23">
        <v>21</v>
      </c>
      <c r="B29" s="24" t="s">
        <v>61</v>
      </c>
      <c r="C29" s="77">
        <v>0</v>
      </c>
      <c r="D29" s="77">
        <v>0</v>
      </c>
      <c r="E29" s="113">
        <f t="shared" si="0"/>
        <v>0</v>
      </c>
      <c r="F29" s="25" t="str">
        <f t="shared" si="1"/>
        <v/>
      </c>
    </row>
    <row r="30" spans="1:6" ht="14.25" customHeight="1" x14ac:dyDescent="0.2">
      <c r="A30" s="23">
        <v>22</v>
      </c>
      <c r="B30" s="110" t="s">
        <v>18</v>
      </c>
      <c r="C30" s="77">
        <v>0</v>
      </c>
      <c r="D30" s="77">
        <v>0</v>
      </c>
      <c r="E30" s="113">
        <f t="shared" si="0"/>
        <v>0</v>
      </c>
      <c r="F30" s="25" t="str">
        <f t="shared" si="1"/>
        <v/>
      </c>
    </row>
    <row r="31" spans="1:6" ht="14.25" customHeight="1" x14ac:dyDescent="0.2">
      <c r="A31" s="23">
        <v>23</v>
      </c>
      <c r="B31" s="24" t="s">
        <v>102</v>
      </c>
      <c r="C31" s="77">
        <v>42</v>
      </c>
      <c r="D31" s="77">
        <v>114</v>
      </c>
      <c r="E31" s="113">
        <f t="shared" si="0"/>
        <v>156</v>
      </c>
      <c r="F31" s="25">
        <f t="shared" si="1"/>
        <v>1.189160346076152E-3</v>
      </c>
    </row>
    <row r="32" spans="1:6" ht="14.25" customHeight="1" x14ac:dyDescent="0.2">
      <c r="A32" s="23">
        <v>24</v>
      </c>
      <c r="B32" s="24" t="s">
        <v>90</v>
      </c>
      <c r="C32" s="77">
        <v>869</v>
      </c>
      <c r="D32" s="77">
        <v>10</v>
      </c>
      <c r="E32" s="113">
        <f t="shared" si="0"/>
        <v>879</v>
      </c>
      <c r="F32" s="25">
        <f t="shared" si="1"/>
        <v>6.7004611807752407E-3</v>
      </c>
    </row>
    <row r="33" spans="1:6" ht="14.25" customHeight="1" x14ac:dyDescent="0.2">
      <c r="A33" s="23">
        <v>25</v>
      </c>
      <c r="B33" s="24" t="s">
        <v>60</v>
      </c>
      <c r="C33" s="77">
        <v>0</v>
      </c>
      <c r="D33" s="77">
        <v>0</v>
      </c>
      <c r="E33" s="113">
        <f t="shared" si="0"/>
        <v>0</v>
      </c>
      <c r="F33" s="25" t="str">
        <f t="shared" si="1"/>
        <v/>
      </c>
    </row>
    <row r="34" spans="1:6" ht="14.25" customHeight="1" x14ac:dyDescent="0.2">
      <c r="A34" s="23">
        <v>26</v>
      </c>
      <c r="B34" s="110" t="s">
        <v>77</v>
      </c>
      <c r="C34" s="77">
        <v>0</v>
      </c>
      <c r="D34" s="77">
        <v>0</v>
      </c>
      <c r="E34" s="113">
        <f t="shared" si="0"/>
        <v>0</v>
      </c>
      <c r="F34" s="25" t="str">
        <f t="shared" si="1"/>
        <v/>
      </c>
    </row>
    <row r="35" spans="1:6" ht="14.25" customHeight="1" x14ac:dyDescent="0.2">
      <c r="A35" s="23">
        <v>27</v>
      </c>
      <c r="B35" s="24" t="s">
        <v>19</v>
      </c>
      <c r="C35" s="77">
        <v>538</v>
      </c>
      <c r="D35" s="77">
        <v>1077</v>
      </c>
      <c r="E35" s="113">
        <f t="shared" si="0"/>
        <v>1615</v>
      </c>
      <c r="F35" s="25">
        <f t="shared" si="1"/>
        <v>1.2310858710980676E-2</v>
      </c>
    </row>
    <row r="36" spans="1:6" ht="14.25" customHeight="1" x14ac:dyDescent="0.2">
      <c r="A36" s="23">
        <v>28</v>
      </c>
      <c r="B36" s="24" t="s">
        <v>20</v>
      </c>
      <c r="C36" s="77">
        <v>0</v>
      </c>
      <c r="D36" s="77">
        <v>0</v>
      </c>
      <c r="E36" s="113">
        <f t="shared" si="0"/>
        <v>0</v>
      </c>
      <c r="F36" s="25" t="str">
        <f t="shared" si="1"/>
        <v/>
      </c>
    </row>
    <row r="37" spans="1:6" ht="14.25" customHeight="1" x14ac:dyDescent="0.2">
      <c r="A37" s="23">
        <v>29</v>
      </c>
      <c r="B37" s="110" t="s">
        <v>21</v>
      </c>
      <c r="C37" s="77">
        <v>5743</v>
      </c>
      <c r="D37" s="77">
        <v>646</v>
      </c>
      <c r="E37" s="113">
        <f t="shared" si="0"/>
        <v>6389</v>
      </c>
      <c r="F37" s="25">
        <f t="shared" si="1"/>
        <v>4.8702214430003429E-2</v>
      </c>
    </row>
    <row r="38" spans="1:6" ht="14.25" customHeight="1" x14ac:dyDescent="0.2">
      <c r="A38" s="23">
        <v>30</v>
      </c>
      <c r="B38" s="24" t="s">
        <v>95</v>
      </c>
      <c r="C38" s="77">
        <v>122</v>
      </c>
      <c r="D38" s="77">
        <v>20</v>
      </c>
      <c r="E38" s="113">
        <f t="shared" si="0"/>
        <v>142</v>
      </c>
      <c r="F38" s="25">
        <f t="shared" si="1"/>
        <v>1.0824408278385486E-3</v>
      </c>
    </row>
    <row r="39" spans="1:6" ht="14.25" customHeight="1" x14ac:dyDescent="0.2">
      <c r="A39" s="23">
        <v>31</v>
      </c>
      <c r="B39" s="110" t="s">
        <v>78</v>
      </c>
      <c r="C39" s="77">
        <v>1</v>
      </c>
      <c r="D39" s="77">
        <v>38</v>
      </c>
      <c r="E39" s="113">
        <f t="shared" si="0"/>
        <v>39</v>
      </c>
      <c r="F39" s="25">
        <f t="shared" si="1"/>
        <v>2.97290086519038E-4</v>
      </c>
    </row>
    <row r="40" spans="1:6" ht="14.25" customHeight="1" x14ac:dyDescent="0.2">
      <c r="A40" s="23">
        <v>32</v>
      </c>
      <c r="B40" s="110" t="s">
        <v>93</v>
      </c>
      <c r="C40" s="77">
        <v>286</v>
      </c>
      <c r="D40" s="77">
        <v>1281</v>
      </c>
      <c r="E40" s="113">
        <f t="shared" si="0"/>
        <v>1567</v>
      </c>
      <c r="F40" s="25">
        <f t="shared" si="1"/>
        <v>1.1944963219880322E-2</v>
      </c>
    </row>
    <row r="41" spans="1:6" ht="14.25" customHeight="1" x14ac:dyDescent="0.2">
      <c r="A41" s="23">
        <v>33</v>
      </c>
      <c r="B41" s="24" t="s">
        <v>92</v>
      </c>
      <c r="C41" s="77">
        <v>18</v>
      </c>
      <c r="D41" s="77">
        <v>2183</v>
      </c>
      <c r="E41" s="113">
        <f t="shared" si="0"/>
        <v>2201</v>
      </c>
      <c r="F41" s="25">
        <f t="shared" si="1"/>
        <v>1.6777832831497502E-2</v>
      </c>
    </row>
    <row r="42" spans="1:6" ht="14.25" customHeight="1" x14ac:dyDescent="0.2">
      <c r="A42" s="23">
        <v>34</v>
      </c>
      <c r="B42" s="24" t="s">
        <v>51</v>
      </c>
      <c r="C42" s="77">
        <v>9520</v>
      </c>
      <c r="D42" s="77">
        <v>244</v>
      </c>
      <c r="E42" s="113">
        <f t="shared" si="0"/>
        <v>9764</v>
      </c>
      <c r="F42" s="25">
        <f t="shared" si="1"/>
        <v>7.4429241147997108E-2</v>
      </c>
    </row>
    <row r="43" spans="1:6" ht="14.25" customHeight="1" x14ac:dyDescent="0.2">
      <c r="A43" s="23">
        <v>35</v>
      </c>
      <c r="B43" s="110" t="s">
        <v>59</v>
      </c>
      <c r="C43" s="77">
        <v>502</v>
      </c>
      <c r="D43" s="77">
        <v>9</v>
      </c>
      <c r="E43" s="113">
        <f t="shared" si="0"/>
        <v>511</v>
      </c>
      <c r="F43" s="25">
        <f t="shared" si="1"/>
        <v>3.8952624156725233E-3</v>
      </c>
    </row>
    <row r="44" spans="1:6" ht="14.25" customHeight="1" x14ac:dyDescent="0.2">
      <c r="A44" s="23">
        <v>36</v>
      </c>
      <c r="B44" s="110" t="s">
        <v>96</v>
      </c>
      <c r="C44" s="77">
        <v>0</v>
      </c>
      <c r="D44" s="77">
        <v>0</v>
      </c>
      <c r="E44" s="113">
        <f t="shared" si="0"/>
        <v>0</v>
      </c>
      <c r="F44" s="25" t="str">
        <f t="shared" si="1"/>
        <v/>
      </c>
    </row>
    <row r="45" spans="1:6" ht="14.25" customHeight="1" x14ac:dyDescent="0.2">
      <c r="A45" s="23">
        <v>37</v>
      </c>
      <c r="B45" s="24" t="s">
        <v>86</v>
      </c>
      <c r="C45" s="77">
        <v>1997</v>
      </c>
      <c r="D45" s="77">
        <v>76</v>
      </c>
      <c r="E45" s="113">
        <f t="shared" si="0"/>
        <v>2073</v>
      </c>
      <c r="F45" s="25">
        <f t="shared" si="1"/>
        <v>1.5802111521896558E-2</v>
      </c>
    </row>
    <row r="46" spans="1:6" ht="14.25" customHeight="1" x14ac:dyDescent="0.2">
      <c r="A46" s="23">
        <v>38</v>
      </c>
      <c r="B46" s="24" t="s">
        <v>23</v>
      </c>
      <c r="C46" s="77">
        <v>10000</v>
      </c>
      <c r="D46" s="77">
        <v>1258</v>
      </c>
      <c r="E46" s="113">
        <f t="shared" si="0"/>
        <v>11258</v>
      </c>
      <c r="F46" s="25">
        <f t="shared" si="1"/>
        <v>8.5817738308495636E-2</v>
      </c>
    </row>
    <row r="47" spans="1:6" ht="14.25" customHeight="1" x14ac:dyDescent="0.2">
      <c r="A47" s="23">
        <v>39</v>
      </c>
      <c r="B47" s="110" t="s">
        <v>56</v>
      </c>
      <c r="C47" s="77">
        <v>0</v>
      </c>
      <c r="D47" s="77">
        <v>0</v>
      </c>
      <c r="E47" s="113">
        <f t="shared" si="0"/>
        <v>0</v>
      </c>
      <c r="F47" s="25" t="str">
        <f t="shared" si="1"/>
        <v/>
      </c>
    </row>
    <row r="48" spans="1:6" x14ac:dyDescent="0.2">
      <c r="A48" s="23">
        <v>40</v>
      </c>
      <c r="B48" s="79" t="s">
        <v>87</v>
      </c>
      <c r="C48" s="77">
        <v>2161</v>
      </c>
      <c r="D48" s="77">
        <v>512</v>
      </c>
      <c r="E48" s="113">
        <f t="shared" si="0"/>
        <v>2673</v>
      </c>
      <c r="F48" s="25">
        <f t="shared" si="1"/>
        <v>2.0375805160650989E-2</v>
      </c>
    </row>
    <row r="49" spans="1:6" x14ac:dyDescent="0.2">
      <c r="A49" s="23">
        <v>41</v>
      </c>
      <c r="B49" s="24" t="s">
        <v>49</v>
      </c>
      <c r="C49" s="77">
        <v>0</v>
      </c>
      <c r="D49" s="77">
        <v>0</v>
      </c>
      <c r="E49" s="113">
        <f t="shared" si="0"/>
        <v>0</v>
      </c>
      <c r="F49" s="25" t="str">
        <f t="shared" si="1"/>
        <v/>
      </c>
    </row>
    <row r="50" spans="1:6" x14ac:dyDescent="0.2">
      <c r="A50" s="23">
        <v>42</v>
      </c>
      <c r="B50" s="24" t="s">
        <v>55</v>
      </c>
      <c r="C50" s="77">
        <v>0</v>
      </c>
      <c r="D50" s="77">
        <v>0</v>
      </c>
      <c r="E50" s="113">
        <f t="shared" si="0"/>
        <v>0</v>
      </c>
      <c r="F50" s="25" t="str">
        <f t="shared" si="1"/>
        <v/>
      </c>
    </row>
    <row r="51" spans="1:6" x14ac:dyDescent="0.2">
      <c r="A51" s="23">
        <v>43</v>
      </c>
      <c r="B51" s="24" t="s">
        <v>58</v>
      </c>
      <c r="C51" s="77">
        <v>4421</v>
      </c>
      <c r="D51" s="77">
        <v>609</v>
      </c>
      <c r="E51" s="113">
        <f t="shared" si="0"/>
        <v>5030</v>
      </c>
      <c r="F51" s="25">
        <f t="shared" si="1"/>
        <v>3.8342798338224647E-2</v>
      </c>
    </row>
    <row r="52" spans="1:6" x14ac:dyDescent="0.2">
      <c r="A52" s="23">
        <v>44</v>
      </c>
      <c r="B52" s="110" t="s">
        <v>52</v>
      </c>
      <c r="C52" s="77">
        <v>3215</v>
      </c>
      <c r="D52" s="77">
        <v>184</v>
      </c>
      <c r="E52" s="113">
        <f t="shared" si="0"/>
        <v>3399</v>
      </c>
      <c r="F52" s="25">
        <f t="shared" si="1"/>
        <v>2.5909974463543851E-2</v>
      </c>
    </row>
    <row r="53" spans="1:6" x14ac:dyDescent="0.2">
      <c r="A53" s="23">
        <v>45</v>
      </c>
      <c r="B53" s="24" t="s">
        <v>24</v>
      </c>
      <c r="C53" s="77">
        <v>64</v>
      </c>
      <c r="D53" s="77">
        <v>840</v>
      </c>
      <c r="E53" s="113">
        <f t="shared" si="0"/>
        <v>904</v>
      </c>
      <c r="F53" s="25">
        <f t="shared" si="1"/>
        <v>6.8910317490566758E-3</v>
      </c>
    </row>
    <row r="54" spans="1:6" x14ac:dyDescent="0.2">
      <c r="A54" s="23">
        <v>46</v>
      </c>
      <c r="B54" s="24" t="s">
        <v>103</v>
      </c>
      <c r="C54" s="77">
        <v>3445</v>
      </c>
      <c r="D54" s="77">
        <v>205</v>
      </c>
      <c r="E54" s="113">
        <f t="shared" si="0"/>
        <v>3650</v>
      </c>
      <c r="F54" s="25">
        <f t="shared" si="1"/>
        <v>2.7823302969089452E-2</v>
      </c>
    </row>
    <row r="55" spans="1:6" x14ac:dyDescent="0.2">
      <c r="A55" s="23">
        <v>47</v>
      </c>
      <c r="B55" s="24" t="s">
        <v>84</v>
      </c>
      <c r="C55" s="77">
        <v>0</v>
      </c>
      <c r="D55" s="77">
        <v>15</v>
      </c>
      <c r="E55" s="113">
        <f t="shared" si="0"/>
        <v>15</v>
      </c>
      <c r="F55" s="25">
        <f t="shared" si="1"/>
        <v>1.1434234096886077E-4</v>
      </c>
    </row>
    <row r="56" spans="1:6" x14ac:dyDescent="0.2">
      <c r="A56" s="23">
        <v>48</v>
      </c>
      <c r="B56" s="24" t="s">
        <v>106</v>
      </c>
      <c r="C56" s="77">
        <v>4186</v>
      </c>
      <c r="D56" s="77">
        <v>213</v>
      </c>
      <c r="E56" s="113">
        <f t="shared" si="0"/>
        <v>4399</v>
      </c>
      <c r="F56" s="25">
        <f t="shared" si="1"/>
        <v>3.3532797194801234E-2</v>
      </c>
    </row>
    <row r="57" spans="1:6" x14ac:dyDescent="0.2">
      <c r="A57" s="23">
        <v>49</v>
      </c>
      <c r="B57" s="24" t="s">
        <v>105</v>
      </c>
      <c r="C57" s="77">
        <v>3513</v>
      </c>
      <c r="D57" s="77">
        <v>324</v>
      </c>
      <c r="E57" s="113">
        <f t="shared" si="0"/>
        <v>3837</v>
      </c>
      <c r="F57" s="25">
        <f t="shared" si="1"/>
        <v>2.9248770819834586E-2</v>
      </c>
    </row>
    <row r="58" spans="1:6" x14ac:dyDescent="0.2">
      <c r="A58" s="23">
        <v>50</v>
      </c>
      <c r="B58" s="78" t="s">
        <v>25</v>
      </c>
      <c r="C58" s="77">
        <v>0</v>
      </c>
      <c r="D58" s="77">
        <v>261</v>
      </c>
      <c r="E58" s="113">
        <f t="shared" si="0"/>
        <v>261</v>
      </c>
      <c r="F58" s="25">
        <f t="shared" si="1"/>
        <v>1.9895567328581773E-3</v>
      </c>
    </row>
    <row r="59" spans="1:6" x14ac:dyDescent="0.2">
      <c r="A59" s="23">
        <v>51</v>
      </c>
      <c r="B59" s="78" t="s">
        <v>81</v>
      </c>
      <c r="C59" s="77">
        <v>0</v>
      </c>
      <c r="D59" s="77">
        <v>0</v>
      </c>
      <c r="E59" s="113">
        <f t="shared" si="0"/>
        <v>0</v>
      </c>
      <c r="F59" s="25" t="str">
        <f t="shared" si="1"/>
        <v/>
      </c>
    </row>
    <row r="60" spans="1:6" x14ac:dyDescent="0.2">
      <c r="A60" s="23">
        <v>52</v>
      </c>
      <c r="B60" s="78" t="s">
        <v>48</v>
      </c>
      <c r="C60" s="115">
        <v>4693</v>
      </c>
      <c r="D60" s="115">
        <v>91</v>
      </c>
      <c r="E60" s="113">
        <f t="shared" si="0"/>
        <v>4784</v>
      </c>
      <c r="F60" s="25">
        <f t="shared" si="1"/>
        <v>3.6467583946335327E-2</v>
      </c>
    </row>
    <row r="61" spans="1:6" x14ac:dyDescent="0.2">
      <c r="A61" s="23">
        <v>53</v>
      </c>
      <c r="B61" s="78" t="s">
        <v>47</v>
      </c>
      <c r="C61" s="115">
        <v>1586</v>
      </c>
      <c r="D61" s="115">
        <v>241</v>
      </c>
      <c r="E61" s="113">
        <f t="shared" si="0"/>
        <v>1827</v>
      </c>
      <c r="F61" s="25">
        <f t="shared" si="1"/>
        <v>1.3926897130007242E-2</v>
      </c>
    </row>
    <row r="62" spans="1:6" ht="13.5" thickBot="1" x14ac:dyDescent="0.25">
      <c r="A62" s="23">
        <v>54</v>
      </c>
      <c r="B62" s="78" t="s">
        <v>80</v>
      </c>
      <c r="C62" s="114">
        <v>1290</v>
      </c>
      <c r="D62" s="114">
        <v>256</v>
      </c>
      <c r="E62" s="113">
        <f t="shared" si="0"/>
        <v>1546</v>
      </c>
      <c r="F62" s="25">
        <f t="shared" si="1"/>
        <v>1.1784883942523916E-2</v>
      </c>
    </row>
    <row r="63" spans="1:6" ht="13.5" thickTop="1" x14ac:dyDescent="0.2">
      <c r="A63" s="12"/>
      <c r="B63" s="6" t="s">
        <v>26</v>
      </c>
      <c r="C63" s="73">
        <f>SUM(C9:C62)</f>
        <v>109772</v>
      </c>
      <c r="D63" s="73">
        <f>SUM(D9:D62)</f>
        <v>21413</v>
      </c>
      <c r="E63" s="73">
        <f>SUM(E9:E62)</f>
        <v>131185</v>
      </c>
      <c r="F63" s="25">
        <f t="shared" si="1"/>
        <v>1</v>
      </c>
    </row>
    <row r="64" spans="1:6" x14ac:dyDescent="0.2">
      <c r="A64" s="2" t="s">
        <v>30</v>
      </c>
      <c r="B64" s="19"/>
      <c r="C64" s="19"/>
      <c r="D64" s="19"/>
      <c r="E64" s="19"/>
    </row>
    <row r="65" spans="1:5" x14ac:dyDescent="0.2">
      <c r="A65" s="2" t="s">
        <v>34</v>
      </c>
      <c r="D65" s="19"/>
      <c r="E65" s="19"/>
    </row>
    <row r="66" spans="1:5" x14ac:dyDescent="0.2">
      <c r="A66" s="2" t="s">
        <v>35</v>
      </c>
      <c r="C66" s="12"/>
      <c r="D66" s="12"/>
      <c r="E66" s="12"/>
    </row>
    <row r="67" spans="1:5" x14ac:dyDescent="0.2">
      <c r="C67" s="12"/>
      <c r="D67" s="12"/>
      <c r="E67" s="12"/>
    </row>
    <row r="68" spans="1:5" x14ac:dyDescent="0.2">
      <c r="B68" s="116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A6" sqref="A6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117" t="s">
        <v>107</v>
      </c>
      <c r="B2" s="117"/>
      <c r="C2" s="117"/>
      <c r="D2" s="117"/>
      <c r="E2" s="117"/>
      <c r="F2" s="117"/>
      <c r="G2" s="117"/>
      <c r="H2" s="117"/>
      <c r="I2" s="30"/>
    </row>
    <row r="3" spans="1:9" s="10" customFormat="1" ht="18" customHeight="1" x14ac:dyDescent="0.2">
      <c r="A3" s="27" t="s">
        <v>76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27" t="s">
        <v>75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">
      <c r="A6" s="11" t="str">
        <f>'Summary Load Customers '!A6</f>
        <v>Data as of May 31, 2016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25">
      <c r="A8" s="65" t="s">
        <v>69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3">
      <c r="B9" s="32"/>
      <c r="C9" s="32"/>
      <c r="D9" s="63"/>
      <c r="E9" s="63"/>
      <c r="F9" s="70"/>
      <c r="G9" s="70"/>
      <c r="H9" s="32"/>
    </row>
    <row r="10" spans="1:9" ht="18" customHeight="1" x14ac:dyDescent="0.2">
      <c r="A10" s="33" t="s">
        <v>100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38</v>
      </c>
      <c r="E11" s="57"/>
      <c r="F11" s="36" t="s">
        <v>45</v>
      </c>
      <c r="G11" s="38"/>
    </row>
    <row r="12" spans="1:9" ht="18" customHeight="1" x14ac:dyDescent="0.2">
      <c r="A12" s="41"/>
      <c r="B12" s="42" t="s">
        <v>22</v>
      </c>
      <c r="C12" s="43" t="s">
        <v>32</v>
      </c>
      <c r="D12" s="42" t="str">
        <f>B12</f>
        <v>Customers</v>
      </c>
      <c r="E12" s="43" t="s">
        <v>32</v>
      </c>
      <c r="F12" s="42" t="str">
        <f>B12</f>
        <v>Customers</v>
      </c>
      <c r="G12" s="43" t="s">
        <v>31</v>
      </c>
    </row>
    <row r="13" spans="1:9" ht="18" customHeight="1" x14ac:dyDescent="0.2">
      <c r="A13" s="44" t="s">
        <v>71</v>
      </c>
      <c r="B13" s="47">
        <f>REC_programs_detail!B23</f>
        <v>4429</v>
      </c>
      <c r="C13" s="48">
        <f>IF(B13=0,0,B13/'Summary Load Customers '!$B$22)</f>
        <v>1.4842493297587132E-2</v>
      </c>
      <c r="D13" s="47">
        <f>REC_programs_detail!C23</f>
        <v>44</v>
      </c>
      <c r="E13" s="48">
        <f>IF(D13=0,0,D13/('Summary Load Customers '!$D$22+'Summary Load Customers '!$F$22))</f>
        <v>1.1304951054700548E-3</v>
      </c>
      <c r="F13" s="47">
        <f>B13+D13</f>
        <v>4473</v>
      </c>
      <c r="G13" s="48">
        <f>IF(F13=0,0,F13/'Summary Load Customers '!$H$22)</f>
        <v>1.3260366238686592E-2</v>
      </c>
    </row>
    <row r="14" spans="1:9" ht="15.75" customHeight="1" x14ac:dyDescent="0.25">
      <c r="G14" s="54"/>
      <c r="H14" s="32"/>
    </row>
    <row r="15" spans="1:9" ht="15.75" customHeight="1" x14ac:dyDescent="0.25">
      <c r="A15" s="108" t="str">
        <f>"As the above table shows, "&amp;TEXT(F13,"0,000")&amp;" of UI's customers, or "&amp;TEXT(G13,"0.0%")&amp;" are participating in the CTCleanEnergyOptions Program."</f>
        <v>As the above table shows, 4,473 of UI's customers, or 1.3%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">
      <c r="A17" s="33" t="s">
        <v>70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38</v>
      </c>
      <c r="E18" s="57"/>
      <c r="F18" s="36" t="s">
        <v>45</v>
      </c>
      <c r="G18" s="38"/>
    </row>
    <row r="19" spans="1:9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B19</f>
        <v>Customers</v>
      </c>
      <c r="G19" s="43" t="s">
        <v>31</v>
      </c>
    </row>
    <row r="20" spans="1:9" ht="18" customHeight="1" x14ac:dyDescent="0.2">
      <c r="A20" s="44" t="s">
        <v>72</v>
      </c>
      <c r="B20" s="47">
        <f>REC_programs_detail!B29</f>
        <v>767</v>
      </c>
      <c r="C20" s="48">
        <f>IF(B20=0,0,B20/'Summary Load Customers '!$B$22)</f>
        <v>2.5703753351206432E-3</v>
      </c>
      <c r="D20" s="47">
        <f>REC_programs_detail!C29</f>
        <v>64</v>
      </c>
      <c r="E20" s="48">
        <f>IF(D20=0,0,D20/('Summary Load Customers '!$D$22+'Summary Load Customers '!$F$22))</f>
        <v>1.6443565170473522E-3</v>
      </c>
      <c r="F20" s="47">
        <f>B20+D20</f>
        <v>831</v>
      </c>
      <c r="G20" s="48">
        <f>IF(F20=0,0,F20/'Summary Load Customers '!$H$22)</f>
        <v>2.4635288049068989E-3</v>
      </c>
    </row>
    <row r="21" spans="1:9" ht="18" customHeight="1" x14ac:dyDescent="0.2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">
      <c r="A22" s="108" t="str">
        <f>"As the above table shows, "&amp;TEXT(F20,"0,000")&amp;" of UI's customers, or "&amp;TEXT(G20,"0.0%")&amp;" are participating in the REC only program."</f>
        <v>As the above table shows, 0,831 of UI's customers, or 0.2%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4.25" x14ac:dyDescent="0.2">
      <c r="A23" s="50"/>
    </row>
    <row r="24" spans="1:9" ht="15" x14ac:dyDescent="0.2">
      <c r="A24" s="33" t="s">
        <v>74</v>
      </c>
      <c r="B24" s="34"/>
      <c r="C24" s="34"/>
      <c r="D24" s="34"/>
      <c r="E24" s="34"/>
      <c r="F24" s="34"/>
      <c r="G24" s="55"/>
      <c r="H24" s="29"/>
      <c r="I24" s="30"/>
    </row>
    <row r="25" spans="1:9" ht="15" x14ac:dyDescent="0.25">
      <c r="A25" s="44"/>
      <c r="B25" s="36" t="s">
        <v>5</v>
      </c>
      <c r="C25" s="56"/>
      <c r="D25" s="36" t="s">
        <v>38</v>
      </c>
      <c r="E25" s="57"/>
      <c r="F25" s="36" t="s">
        <v>45</v>
      </c>
      <c r="G25" s="38"/>
    </row>
    <row r="26" spans="1:9" ht="15" x14ac:dyDescent="0.2">
      <c r="A26" s="41"/>
      <c r="B26" s="42" t="s">
        <v>22</v>
      </c>
      <c r="C26" s="43" t="s">
        <v>32</v>
      </c>
      <c r="D26" s="42" t="str">
        <f>B26</f>
        <v>Customers</v>
      </c>
      <c r="E26" s="43" t="s">
        <v>32</v>
      </c>
      <c r="F26" s="42" t="str">
        <f>B26</f>
        <v>Customers</v>
      </c>
      <c r="G26" s="43" t="s">
        <v>31</v>
      </c>
    </row>
    <row r="27" spans="1:9" ht="14.25" x14ac:dyDescent="0.2">
      <c r="A27" s="44" t="s">
        <v>73</v>
      </c>
      <c r="B27" s="47">
        <f>B13+B20</f>
        <v>5196</v>
      </c>
      <c r="C27" s="48">
        <f>IF(B27=0,0,B27/'Summary Load Customers '!$B$22)</f>
        <v>1.7412868632707773E-2</v>
      </c>
      <c r="D27" s="47">
        <f>D13+D20</f>
        <v>108</v>
      </c>
      <c r="E27" s="48">
        <f>IF(D27=0,0,D27/('Summary Load Customers '!$D$22+'Summary Load Customers '!$F$22))</f>
        <v>2.774851622517407E-3</v>
      </c>
      <c r="F27" s="47">
        <f>B27+D27</f>
        <v>5304</v>
      </c>
      <c r="G27" s="48">
        <f>IF(F27=0,0,F27/'Summary Load Customers '!$H$22)</f>
        <v>1.5723895043593492E-2</v>
      </c>
    </row>
    <row r="28" spans="1:9" ht="15" x14ac:dyDescent="0.25">
      <c r="G28" s="54"/>
      <c r="H28" s="32"/>
    </row>
    <row r="29" spans="1:9" ht="15" x14ac:dyDescent="0.25">
      <c r="A29" s="108" t="str">
        <f>"As the above table shows, "&amp;TEXT(F27,"0,000")&amp;" of UI's customers, or "&amp;TEXT(G27,"0.0%")&amp;" are participating in the combined REC programs."</f>
        <v>As the above table shows, 5,304 of UI's customers, or 1.6% are participating in the combined REC programs.</v>
      </c>
      <c r="G29" s="54"/>
      <c r="H29" s="32"/>
    </row>
    <row r="31" spans="1:9" ht="13.5" x14ac:dyDescent="0.2">
      <c r="A31" s="71" t="s">
        <v>44</v>
      </c>
    </row>
    <row r="32" spans="1:9" ht="13.5" x14ac:dyDescent="0.2">
      <c r="A32" s="71"/>
    </row>
    <row r="33" spans="1:1" ht="13.5" x14ac:dyDescent="0.2">
      <c r="A33" s="71" t="s">
        <v>101</v>
      </c>
    </row>
    <row r="34" spans="1:1" x14ac:dyDescent="0.2">
      <c r="A34" s="72" t="s">
        <v>97</v>
      </c>
    </row>
    <row r="36" spans="1:1" x14ac:dyDescent="0.2">
      <c r="A36" s="72" t="s">
        <v>30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16" zoomScale="110" zoomScaleNormal="110" workbookViewId="0">
      <selection activeCell="B29" sqref="B29"/>
    </sheetView>
  </sheetViews>
  <sheetFormatPr defaultColWidth="9.140625" defaultRowHeight="11.25" x14ac:dyDescent="0.2"/>
  <cols>
    <col min="1" max="1" width="28" style="83" customWidth="1"/>
    <col min="2" max="3" width="19.140625" style="83" customWidth="1"/>
    <col min="4" max="4" width="20.28515625" style="83" customWidth="1"/>
    <col min="5" max="5" width="7.140625" style="83" customWidth="1"/>
    <col min="6" max="6" width="23.28515625" style="83" bestFit="1" customWidth="1"/>
    <col min="7" max="7" width="10.42578125" style="83" customWidth="1"/>
    <col min="8" max="16384" width="9.140625" style="83"/>
  </cols>
  <sheetData>
    <row r="1" spans="1:9" s="82" customFormat="1" ht="15" customHeight="1" x14ac:dyDescent="0.2">
      <c r="A1" s="118" t="str">
        <f>'Summary Load Customers '!A1</f>
        <v>The United Illuminating Company</v>
      </c>
      <c r="B1" s="118"/>
      <c r="C1" s="118"/>
      <c r="D1" s="118"/>
      <c r="E1" s="80"/>
      <c r="F1" s="80"/>
      <c r="G1" s="81"/>
    </row>
    <row r="2" spans="1:9" s="10" customFormat="1" ht="18" customHeight="1" x14ac:dyDescent="0.2">
      <c r="A2" s="119" t="s">
        <v>107</v>
      </c>
      <c r="B2" s="119"/>
      <c r="C2" s="119"/>
      <c r="D2" s="119"/>
      <c r="E2" s="28"/>
      <c r="F2" s="28"/>
      <c r="G2" s="29"/>
      <c r="H2" s="30"/>
      <c r="I2" s="30"/>
    </row>
    <row r="3" spans="1:9" s="82" customFormat="1" ht="15" customHeight="1" x14ac:dyDescent="0.2">
      <c r="A3" s="118" t="s">
        <v>62</v>
      </c>
      <c r="B3" s="118"/>
      <c r="C3" s="118"/>
      <c r="D3" s="118"/>
      <c r="E3" s="80"/>
      <c r="F3" s="80"/>
      <c r="G3" s="81"/>
    </row>
    <row r="4" spans="1:9" s="82" customFormat="1" ht="15" customHeight="1" x14ac:dyDescent="0.2">
      <c r="A4" s="118" t="s">
        <v>2</v>
      </c>
      <c r="B4" s="118"/>
      <c r="C4" s="118"/>
      <c r="D4" s="118"/>
      <c r="E4" s="80"/>
      <c r="F4" s="80"/>
      <c r="G4" s="81"/>
    </row>
    <row r="5" spans="1:9" s="82" customFormat="1" ht="15" customHeight="1" x14ac:dyDescent="0.2">
      <c r="A5" s="118" t="str">
        <f>'Summary Load Customers '!A6</f>
        <v>Data as of May 31, 2016</v>
      </c>
      <c r="B5" s="118"/>
      <c r="C5" s="118"/>
      <c r="D5" s="118"/>
      <c r="E5" s="80"/>
      <c r="F5" s="80"/>
      <c r="G5" s="81"/>
    </row>
    <row r="6" spans="1:9" x14ac:dyDescent="0.2">
      <c r="C6" s="84"/>
      <c r="D6" s="84"/>
      <c r="E6" s="84"/>
      <c r="F6" s="84"/>
      <c r="G6" s="84"/>
    </row>
    <row r="7" spans="1:9" s="90" customFormat="1" ht="22.5" x14ac:dyDescent="0.2">
      <c r="A7" s="85" t="s">
        <v>64</v>
      </c>
      <c r="B7" s="86" t="s">
        <v>5</v>
      </c>
      <c r="C7" s="85" t="s">
        <v>6</v>
      </c>
      <c r="D7" s="85" t="s">
        <v>45</v>
      </c>
      <c r="E7" s="87"/>
      <c r="F7" s="87"/>
      <c r="G7" s="88"/>
      <c r="H7" s="89"/>
    </row>
    <row r="8" spans="1:9" x14ac:dyDescent="0.2">
      <c r="A8" s="91" t="s">
        <v>63</v>
      </c>
      <c r="B8" s="92"/>
      <c r="C8" s="93"/>
      <c r="D8" s="94">
        <f>IF(C8=0,0,C8)</f>
        <v>0</v>
      </c>
      <c r="E8" s="84"/>
      <c r="F8" s="84"/>
      <c r="G8" s="95"/>
      <c r="H8" s="84"/>
    </row>
    <row r="9" spans="1:9" x14ac:dyDescent="0.2">
      <c r="A9" s="91" t="s">
        <v>27</v>
      </c>
      <c r="B9" s="93">
        <v>160</v>
      </c>
      <c r="C9" s="93">
        <v>2</v>
      </c>
      <c r="D9" s="94">
        <f>SUM(B9:C9)</f>
        <v>162</v>
      </c>
      <c r="E9" s="96"/>
      <c r="F9" s="96"/>
      <c r="G9" s="95"/>
      <c r="H9" s="84"/>
    </row>
    <row r="10" spans="1:9" x14ac:dyDescent="0.2">
      <c r="A10" s="91" t="s">
        <v>28</v>
      </c>
      <c r="B10" s="93">
        <v>3623</v>
      </c>
      <c r="C10" s="93">
        <v>40</v>
      </c>
      <c r="D10" s="94">
        <f>SUM(B10:C10)</f>
        <v>3663</v>
      </c>
      <c r="E10" s="97"/>
      <c r="F10" s="98"/>
      <c r="G10" s="95"/>
      <c r="H10" s="84"/>
    </row>
    <row r="11" spans="1:9" x14ac:dyDescent="0.2">
      <c r="A11" s="99" t="s">
        <v>7</v>
      </c>
      <c r="B11" s="100">
        <f>IF(B9+B10=0,0,B9+B10)</f>
        <v>3783</v>
      </c>
      <c r="C11" s="100">
        <f>IF(SUM(C8:C10)=0,0,SUM(C8:C10))</f>
        <v>42</v>
      </c>
      <c r="D11" s="100">
        <f>IF(SUM(D8:D10)=0,0,SUM(D8:D10))</f>
        <v>3825</v>
      </c>
      <c r="E11" s="97"/>
      <c r="F11" s="98"/>
      <c r="G11" s="95"/>
      <c r="H11" s="84"/>
    </row>
    <row r="12" spans="1:9" x14ac:dyDescent="0.2">
      <c r="A12" s="84"/>
      <c r="B12" s="101"/>
      <c r="C12" s="101"/>
      <c r="D12" s="101"/>
      <c r="E12" s="97"/>
      <c r="F12" s="98"/>
      <c r="G12" s="102"/>
      <c r="H12" s="84"/>
    </row>
    <row r="13" spans="1:9" ht="22.5" x14ac:dyDescent="0.2">
      <c r="A13" s="85" t="s">
        <v>67</v>
      </c>
      <c r="B13" s="85" t="s">
        <v>5</v>
      </c>
      <c r="C13" s="85" t="str">
        <f>C7</f>
        <v>Business</v>
      </c>
      <c r="D13" s="85" t="s">
        <v>45</v>
      </c>
      <c r="E13" s="103"/>
      <c r="F13" s="104"/>
      <c r="G13" s="102"/>
      <c r="H13" s="84"/>
    </row>
    <row r="14" spans="1:9" x14ac:dyDescent="0.2">
      <c r="A14" s="91" t="s">
        <v>63</v>
      </c>
      <c r="B14" s="92"/>
      <c r="C14" s="93"/>
      <c r="D14" s="94">
        <f>IF(C14=0,0,C14)</f>
        <v>0</v>
      </c>
      <c r="E14" s="84"/>
      <c r="F14" s="84"/>
      <c r="G14" s="102"/>
      <c r="H14" s="84"/>
    </row>
    <row r="15" spans="1:9" x14ac:dyDescent="0.2">
      <c r="A15" s="91" t="s">
        <v>27</v>
      </c>
      <c r="B15" s="93">
        <v>3</v>
      </c>
      <c r="C15" s="93">
        <v>0</v>
      </c>
      <c r="D15" s="94">
        <f>SUM(B15:C15)</f>
        <v>3</v>
      </c>
      <c r="E15" s="96"/>
      <c r="F15" s="96"/>
      <c r="G15" s="95"/>
      <c r="H15" s="84"/>
    </row>
    <row r="16" spans="1:9" x14ac:dyDescent="0.2">
      <c r="A16" s="91" t="s">
        <v>28</v>
      </c>
      <c r="B16" s="93">
        <v>643</v>
      </c>
      <c r="C16" s="93">
        <v>2</v>
      </c>
      <c r="D16" s="94">
        <f>SUM(B16:C16)</f>
        <v>645</v>
      </c>
      <c r="E16" s="97"/>
      <c r="F16" s="98"/>
      <c r="G16" s="95"/>
      <c r="H16" s="84"/>
    </row>
    <row r="17" spans="1:8" x14ac:dyDescent="0.2">
      <c r="A17" s="99" t="str">
        <f>A11</f>
        <v>Total</v>
      </c>
      <c r="B17" s="100">
        <f>IF(B15+B16=0,0,B15+B16)</f>
        <v>646</v>
      </c>
      <c r="C17" s="100">
        <f>IF(SUM(C14:C16)=0,0,SUM(C14:C16))</f>
        <v>2</v>
      </c>
      <c r="D17" s="100">
        <f>IF(SUM(D14:D16)=0,0,SUM(D14:D16))</f>
        <v>648</v>
      </c>
      <c r="E17" s="97"/>
      <c r="F17" s="98"/>
      <c r="G17" s="95"/>
      <c r="H17" s="84"/>
    </row>
    <row r="18" spans="1:8" x14ac:dyDescent="0.2">
      <c r="A18" s="84"/>
      <c r="B18" s="84"/>
      <c r="C18" s="84"/>
      <c r="D18" s="84"/>
      <c r="E18" s="97"/>
      <c r="F18" s="98"/>
      <c r="G18" s="102"/>
      <c r="H18" s="84"/>
    </row>
    <row r="19" spans="1:8" ht="22.5" x14ac:dyDescent="0.2">
      <c r="A19" s="85" t="s">
        <v>68</v>
      </c>
      <c r="B19" s="85" t="s">
        <v>5</v>
      </c>
      <c r="C19" s="85" t="str">
        <f>C7</f>
        <v>Business</v>
      </c>
      <c r="D19" s="85" t="s">
        <v>45</v>
      </c>
      <c r="E19" s="103"/>
      <c r="F19" s="104"/>
      <c r="G19" s="102"/>
      <c r="H19" s="84"/>
    </row>
    <row r="20" spans="1:8" x14ac:dyDescent="0.2">
      <c r="A20" s="91" t="s">
        <v>63</v>
      </c>
      <c r="B20" s="92"/>
      <c r="C20" s="105">
        <f t="shared" ref="C20:D21" si="0">IF(C8+C14=0,0,C8+C14)</f>
        <v>0</v>
      </c>
      <c r="D20" s="94"/>
      <c r="E20" s="102"/>
      <c r="F20" s="102"/>
      <c r="G20" s="102"/>
      <c r="H20" s="84"/>
    </row>
    <row r="21" spans="1:8" x14ac:dyDescent="0.2">
      <c r="A21" s="91" t="s">
        <v>27</v>
      </c>
      <c r="B21" s="105">
        <f>IF(B9+B15=0,0,B9+B15)</f>
        <v>163</v>
      </c>
      <c r="C21" s="105">
        <f>IF(C9+C15=0,0,C9+C15)</f>
        <v>2</v>
      </c>
      <c r="D21" s="94">
        <f t="shared" si="0"/>
        <v>165</v>
      </c>
      <c r="E21" s="95"/>
      <c r="F21" s="102"/>
      <c r="G21" s="102"/>
      <c r="H21" s="84"/>
    </row>
    <row r="22" spans="1:8" x14ac:dyDescent="0.2">
      <c r="A22" s="91" t="s">
        <v>28</v>
      </c>
      <c r="B22" s="105">
        <f>IF(B10+B16=0,0,B10+B16)</f>
        <v>4266</v>
      </c>
      <c r="C22" s="105">
        <f>IF(C10+C16=0,0,C10+C16)</f>
        <v>42</v>
      </c>
      <c r="D22" s="94">
        <f>IF(D10+D16=0,0,D10+D16)</f>
        <v>4308</v>
      </c>
      <c r="E22" s="84"/>
      <c r="F22" s="102"/>
      <c r="G22" s="102"/>
      <c r="H22" s="84"/>
    </row>
    <row r="23" spans="1:8" x14ac:dyDescent="0.2">
      <c r="A23" s="99" t="str">
        <f>A11</f>
        <v>Total</v>
      </c>
      <c r="B23" s="100">
        <f>IF(B21+B22=0,0,B21+B22)</f>
        <v>4429</v>
      </c>
      <c r="C23" s="100">
        <f>IF(SUM(C20:C22)=0,0,SUM(C20:C22))</f>
        <v>44</v>
      </c>
      <c r="D23" s="100">
        <f>SUM(D20:D22)</f>
        <v>4473</v>
      </c>
      <c r="E23" s="84"/>
      <c r="F23" s="102"/>
      <c r="G23" s="102"/>
      <c r="H23" s="84"/>
    </row>
    <row r="24" spans="1:8" x14ac:dyDescent="0.2">
      <c r="B24" s="84"/>
      <c r="C24" s="84"/>
      <c r="E24" s="84"/>
      <c r="F24" s="102"/>
      <c r="G24" s="102"/>
      <c r="H24" s="84"/>
    </row>
    <row r="25" spans="1:8" ht="22.5" x14ac:dyDescent="0.2">
      <c r="A25" s="85" t="s">
        <v>65</v>
      </c>
      <c r="B25" s="85" t="s">
        <v>5</v>
      </c>
      <c r="C25" s="85" t="s">
        <v>6</v>
      </c>
      <c r="D25" s="85" t="s">
        <v>45</v>
      </c>
    </row>
    <row r="26" spans="1:8" x14ac:dyDescent="0.2">
      <c r="A26" s="91" t="s">
        <v>63</v>
      </c>
      <c r="B26" s="92"/>
      <c r="C26" s="105">
        <f>IF(C14+C20=0,0,C14+C20)</f>
        <v>0</v>
      </c>
      <c r="D26" s="94">
        <f>IF(C26=0,0,C26)</f>
        <v>0</v>
      </c>
    </row>
    <row r="27" spans="1:8" x14ac:dyDescent="0.2">
      <c r="A27" s="91" t="s">
        <v>27</v>
      </c>
      <c r="B27" s="93">
        <v>213</v>
      </c>
      <c r="C27" s="93">
        <v>11</v>
      </c>
      <c r="D27" s="94">
        <f>SUM(B27:C27)</f>
        <v>224</v>
      </c>
    </row>
    <row r="28" spans="1:8" x14ac:dyDescent="0.2">
      <c r="A28" s="91" t="s">
        <v>28</v>
      </c>
      <c r="B28" s="93">
        <v>554</v>
      </c>
      <c r="C28" s="93">
        <v>53</v>
      </c>
      <c r="D28" s="94">
        <f>SUM(B28:C28)</f>
        <v>607</v>
      </c>
    </row>
    <row r="29" spans="1:8" x14ac:dyDescent="0.2">
      <c r="A29" s="99" t="str">
        <f>A23</f>
        <v>Total</v>
      </c>
      <c r="B29" s="100">
        <f>IF(B27+B28=0,0,B27+B28)</f>
        <v>767</v>
      </c>
      <c r="C29" s="100">
        <f>IF(SUM(C26:C28)=0,0,SUM(C26:C28))</f>
        <v>64</v>
      </c>
      <c r="D29" s="100">
        <f>IF(SUM(D26:D28)=0,0,SUM(D26:D28))</f>
        <v>831</v>
      </c>
    </row>
    <row r="31" spans="1:8" x14ac:dyDescent="0.2">
      <c r="A31" s="85" t="s">
        <v>66</v>
      </c>
      <c r="B31" s="85" t="s">
        <v>5</v>
      </c>
      <c r="C31" s="85" t="str">
        <f>C19</f>
        <v>Business</v>
      </c>
      <c r="D31" s="85" t="s">
        <v>45</v>
      </c>
    </row>
    <row r="32" spans="1:8" x14ac:dyDescent="0.2">
      <c r="A32" s="91" t="s">
        <v>63</v>
      </c>
      <c r="B32" s="92"/>
      <c r="C32" s="105">
        <f t="shared" ref="C32:D34" si="1">C20+C26</f>
        <v>0</v>
      </c>
      <c r="D32" s="94">
        <f t="shared" si="1"/>
        <v>0</v>
      </c>
    </row>
    <row r="33" spans="1:7" x14ac:dyDescent="0.2">
      <c r="A33" s="91" t="s">
        <v>27</v>
      </c>
      <c r="B33" s="105">
        <f>B21+B27</f>
        <v>376</v>
      </c>
      <c r="C33" s="105">
        <f t="shared" si="1"/>
        <v>13</v>
      </c>
      <c r="D33" s="94">
        <f t="shared" si="1"/>
        <v>389</v>
      </c>
      <c r="E33" s="84"/>
      <c r="F33" s="84"/>
      <c r="G33" s="84"/>
    </row>
    <row r="34" spans="1:7" x14ac:dyDescent="0.2">
      <c r="A34" s="91" t="s">
        <v>28</v>
      </c>
      <c r="B34" s="105">
        <f>B22+B28</f>
        <v>4820</v>
      </c>
      <c r="C34" s="105">
        <f t="shared" si="1"/>
        <v>95</v>
      </c>
      <c r="D34" s="94">
        <f t="shared" si="1"/>
        <v>4915</v>
      </c>
    </row>
    <row r="35" spans="1:7" x14ac:dyDescent="0.2">
      <c r="A35" s="99" t="str">
        <f>A29</f>
        <v>Total</v>
      </c>
      <c r="B35" s="100">
        <f>IF(B33+B34=0,0,B33+B34)</f>
        <v>5196</v>
      </c>
      <c r="C35" s="100">
        <f>IF(SUM(C32:C34)=0,0,SUM(C32:C34))</f>
        <v>108</v>
      </c>
      <c r="D35" s="100">
        <f>SUM(D32:D34)</f>
        <v>5304</v>
      </c>
    </row>
    <row r="37" spans="1:7" x14ac:dyDescent="0.2">
      <c r="A37" s="106" t="str">
        <f>"In summary, "&amp;TEXT($D$23,"0,000")&amp; " of UI's customers are participating in the CTCleanEnergyOptions Program"</f>
        <v>In summary, 4,473 of UI's customers are participating in the CTCleanEnergyOptions Program</v>
      </c>
    </row>
    <row r="38" spans="1:7" x14ac:dyDescent="0.2">
      <c r="A38" s="106" t="str">
        <f>"In summary, "&amp;TEXT($D$29,"000")&amp; " of UI's customers are participating in RECs only with Sterling Planet"</f>
        <v>In summary, 831 of UI's customers are participating in RECs only with Sterling Planet</v>
      </c>
    </row>
    <row r="39" spans="1:7" x14ac:dyDescent="0.2">
      <c r="A39" s="106" t="str">
        <f>"In summary, "&amp;TEXT($D$35,"0,000")&amp; " of UI's customers are participating in all REC programs"</f>
        <v>In summary, 5,304 of UI's customers are participating in all REC programs</v>
      </c>
    </row>
    <row r="41" spans="1:7" x14ac:dyDescent="0.2">
      <c r="A41" s="107" t="s">
        <v>33</v>
      </c>
    </row>
    <row r="42" spans="1:7" x14ac:dyDescent="0.2">
      <c r="A42" s="84" t="s">
        <v>29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XWRONSM</cp:lastModifiedBy>
  <cp:lastPrinted>2016-05-09T18:10:35Z</cp:lastPrinted>
  <dcterms:created xsi:type="dcterms:W3CDTF">2009-03-17T13:14:28Z</dcterms:created>
  <dcterms:modified xsi:type="dcterms:W3CDTF">2016-06-16T18:11:24Z</dcterms:modified>
</cp:coreProperties>
</file>