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-15" yWindow="-15" windowWidth="23070" windowHeight="492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52511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B12" i="7"/>
  <c r="F11" i="7"/>
  <c r="D11" i="7"/>
  <c r="B11" i="7"/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6" i="6"/>
  <c r="E67" i="6"/>
  <c r="E68" i="6"/>
  <c r="D69" i="6"/>
  <c r="C69" i="6"/>
  <c r="E9" i="6" l="1"/>
  <c r="E69" i="6" s="1"/>
  <c r="F67" i="6" s="1"/>
  <c r="F68" i="6" l="1"/>
  <c r="B21" i="5" l="1"/>
  <c r="B33" i="5" s="1"/>
  <c r="C21" i="5"/>
  <c r="C33" i="5" s="1"/>
  <c r="C22" i="5"/>
  <c r="C34" i="5" s="1"/>
  <c r="B22" i="5"/>
  <c r="B34" i="5" s="1"/>
  <c r="F46" i="6" l="1"/>
  <c r="F36" i="6"/>
  <c r="F38" i="6"/>
  <c r="F49" i="6"/>
  <c r="F52" i="6"/>
  <c r="F53" i="6"/>
  <c r="F62" i="6"/>
  <c r="F44" i="6" l="1"/>
  <c r="F9" i="6"/>
  <c r="F61" i="6"/>
  <c r="F47" i="6"/>
  <c r="F39" i="6"/>
  <c r="F66" i="6"/>
  <c r="F60" i="6"/>
  <c r="F56" i="6"/>
  <c r="F48" i="6"/>
  <c r="F40" i="6"/>
  <c r="F37" i="6"/>
  <c r="F64" i="6"/>
  <c r="F57" i="6"/>
  <c r="F43" i="6"/>
  <c r="F63" i="6"/>
  <c r="F59" i="6"/>
  <c r="F55" i="6"/>
  <c r="F51" i="6"/>
  <c r="F42" i="6"/>
  <c r="F69" i="6"/>
  <c r="F58" i="6"/>
  <c r="F54" i="6"/>
  <c r="F45" i="6"/>
  <c r="F41" i="6"/>
  <c r="F14" i="6" l="1"/>
  <c r="F12" i="6" l="1"/>
  <c r="F13" i="7"/>
  <c r="A5" i="5" l="1"/>
  <c r="H12" i="7" l="1"/>
  <c r="F16" i="6" l="1"/>
  <c r="A6" i="8" l="1"/>
  <c r="B29" i="5"/>
  <c r="B20" i="8" s="1"/>
  <c r="F26" i="8"/>
  <c r="F19" i="8"/>
  <c r="F12" i="8"/>
  <c r="D8" i="5"/>
  <c r="D14" i="5"/>
  <c r="C20" i="5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 s="1"/>
  <c r="H11" i="7"/>
  <c r="A1" i="6"/>
  <c r="A1" i="5"/>
  <c r="C17" i="5"/>
  <c r="C11" i="5"/>
  <c r="B11" i="5"/>
  <c r="B17" i="5"/>
  <c r="A5" i="6"/>
  <c r="A22" i="7"/>
  <c r="A21" i="7"/>
  <c r="D10" i="7"/>
  <c r="F10" i="7" s="1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 l="1"/>
  <c r="D22" i="5"/>
  <c r="D34" i="5" s="1"/>
  <c r="D21" i="5"/>
  <c r="D33" i="5" s="1"/>
  <c r="E20" i="7"/>
  <c r="C12" i="7"/>
  <c r="G20" i="7"/>
  <c r="G11" i="7"/>
  <c r="H13" i="7"/>
  <c r="I11" i="7" s="1"/>
  <c r="A14" i="7" s="1"/>
  <c r="H22" i="7"/>
  <c r="I21" i="7" s="1"/>
  <c r="A25" i="7" s="1"/>
  <c r="C21" i="7"/>
  <c r="D17" i="5"/>
  <c r="D11" i="5"/>
  <c r="B23" i="5"/>
  <c r="B13" i="8" s="1"/>
  <c r="C13" i="8" s="1"/>
  <c r="B35" i="5"/>
  <c r="C20" i="8"/>
  <c r="E11" i="7"/>
  <c r="C23" i="5"/>
  <c r="D13" i="8" s="1"/>
  <c r="C29" i="5" l="1"/>
  <c r="D20" i="8" s="1"/>
  <c r="D26" i="5"/>
  <c r="C32" i="5"/>
  <c r="C35" i="5" s="1"/>
  <c r="F32" i="6"/>
  <c r="F11" i="6"/>
  <c r="F15" i="6"/>
  <c r="F17" i="6"/>
  <c r="F20" i="6"/>
  <c r="F22" i="6"/>
  <c r="F24" i="6"/>
  <c r="F26" i="6"/>
  <c r="F28" i="6"/>
  <c r="F31" i="6"/>
  <c r="F34" i="6"/>
  <c r="F10" i="6"/>
  <c r="F18" i="6"/>
  <c r="F21" i="6"/>
  <c r="F23" i="6"/>
  <c r="F25" i="6"/>
  <c r="F27" i="6"/>
  <c r="F30" i="6"/>
  <c r="F33" i="6"/>
  <c r="F35" i="6"/>
  <c r="F13" i="8"/>
  <c r="G13" i="8" s="1"/>
  <c r="A15" i="8" s="1"/>
  <c r="B27" i="8"/>
  <c r="C27" i="8" s="1"/>
  <c r="I12" i="7"/>
  <c r="A15" i="7" s="1"/>
  <c r="I20" i="7"/>
  <c r="A24" i="7" s="1"/>
  <c r="D23" i="5"/>
  <c r="A37" i="5" s="1"/>
  <c r="E13" i="8"/>
  <c r="D27" i="8"/>
  <c r="E27" i="8" s="1"/>
  <c r="D29" i="5" l="1"/>
  <c r="A38" i="5" s="1"/>
  <c r="D32" i="5"/>
  <c r="D35" i="5" s="1"/>
  <c r="A39" i="5" s="1"/>
  <c r="F20" i="8"/>
  <c r="G20" i="8" s="1"/>
  <c r="A22" i="8" s="1"/>
  <c r="E20" i="8"/>
  <c r="F27" i="8"/>
  <c r="G27" i="8" l="1"/>
  <c r="A29" i="8" s="1"/>
</calcChain>
</file>

<file path=xl/sharedStrings.xml><?xml version="1.0" encoding="utf-8"?>
<sst xmlns="http://schemas.openxmlformats.org/spreadsheetml/2006/main" count="182" uniqueCount="117">
  <si>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</si>
  <si>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</si>
  <si>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</si>
  <si>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</si>
  <si>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</si>
  <si>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</si>
  <si>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</si>
  <si>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</si>
  <si>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</si>
  <si>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</si>
  <si>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</si>
  <si>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</si>
  <si>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</si>
  <si>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</si>
  <si>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</si>
  <si>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</si>
  <si>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</si>
  <si>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</si>
  <si>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</si>
  <si>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</si>
  <si>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</si>
  <si>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</si>
  <si>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</si>
  <si>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</si>
  <si>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</si>
  <si>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</si>
  <si>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</si>
  <si>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</si>
  <si>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</si>
  <si>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</si>
  <si>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</si>
  <si>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</si>
  <si>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</si>
  <si>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</si>
  <si>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</si>
  <si>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</si>
  <si>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</si>
  <si>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</si>
  <si>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</si>
  <si>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</si>
  <si>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</si>
  <si>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</si>
  <si>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</si>
  <si>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</si>
  <si>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</si>
  <si>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</si>
  <si>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</si>
  <si>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</si>
  <si>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</si>
  <si>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</si>
  <si>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</si>
  <si>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</si>
  <si>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</si>
  <si>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</si>
  <si>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</si>
  <si>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</si>
  <si>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</si>
  <si>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</si>
  <si>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</si>
  <si>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</si>
  <si>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</si>
  <si>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</si>
  <si>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</si>
  <si>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</si>
  <si>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</si>
  <si>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</si>
  <si>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</si>
  <si>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</si>
  <si>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</si>
  <si>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</si>
  <si>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</si>
  <si>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</si>
  <si>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</si>
  <si>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</si>
  <si>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</si>
  <si>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</si>
  <si>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</si>
  <si>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</si>
  <si>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</si>
  <si>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</si>
  <si>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</si>
  <si>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</si>
  <si>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</si>
  <si>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</si>
  <si>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</si>
  <si>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</si>
  <si>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</si>
  <si>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</si>
  <si>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</si>
  <si>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</si>
  <si>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</si>
  <si>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</si>
  <si>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</si>
  <si>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</si>
  <si>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</si>
  <si>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</si>
  <si>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</si>
  <si>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</si>
  <si>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</si>
  <si>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</si>
  <si>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</si>
  <si>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</si>
  <si>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</si>
  <si>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</si>
  <si>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</si>
  <si>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</si>
  <si>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</si>
  <si>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</si>
  <si>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</si>
  <si>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</si>
  <si>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</si>
  <si>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</si>
  <si>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</si>
  <si>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</si>
  <si>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Data as of January 31, 2017</t>
  </si>
  <si>
    <t>Calpine Energy Solutions, LLC  ((F/K/A Noble)</t>
  </si>
  <si>
    <t>Everyday Energy,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</si>
</sst>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9" fillId="0" borderId="3" xfId="0" applyNumberFormat="1" applyFont="1" applyFill="1" applyBorder="1" applyAlignment="1" applyProtection="1">
      <protection locked="0"/>
    </xf>
    <xf numFmtId="3" fontId="9" fillId="0" borderId="1" xfId="0" applyNumberFormat="1" applyFont="1" applyFill="1" applyBorder="1" applyAlignment="1" applyProtection="1"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3" fontId="9" fillId="0" borderId="10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1_January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yls/AppData/Local/Microsoft/Windows/INetCache/Content.Outlook/2GER8HKD/Customer_count_files/201701_January_2017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4">
          <cell r="H24">
            <v>75985.766999999862</v>
          </cell>
        </row>
        <row r="25">
          <cell r="H25">
            <v>110028.79718800004</v>
          </cell>
        </row>
        <row r="26">
          <cell r="H26">
            <v>101776.15781199995</v>
          </cell>
        </row>
        <row r="29">
          <cell r="H29">
            <v>116890.63399999998</v>
          </cell>
        </row>
        <row r="30">
          <cell r="H30">
            <v>40331.669000000002</v>
          </cell>
        </row>
        <row r="31">
          <cell r="H31">
            <v>7806.0610000000015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107081</v>
          </cell>
        </row>
        <row r="19">
          <cell r="B19">
            <v>22102</v>
          </cell>
        </row>
        <row r="20">
          <cell r="B20">
            <v>221</v>
          </cell>
        </row>
        <row r="22">
          <cell r="B22">
            <v>193277</v>
          </cell>
        </row>
        <row r="23">
          <cell r="B23">
            <v>16721</v>
          </cell>
        </row>
        <row r="24">
          <cell r="B24">
            <v>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topLeftCell="A4" zoomScaleNormal="100" workbookViewId="0">
      <selection activeCell="F24" sqref="F24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105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56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38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114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41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42</v>
      </c>
      <c r="C9" s="37"/>
      <c r="D9" s="36" t="s">
        <v>8</v>
      </c>
      <c r="E9" s="38"/>
      <c r="F9" s="36" t="s">
        <v>9</v>
      </c>
      <c r="G9" s="39"/>
      <c r="H9" s="36" t="s">
        <v>44</v>
      </c>
      <c r="I9" s="38"/>
    </row>
    <row r="10" spans="1:15" ht="18" customHeight="1" x14ac:dyDescent="0.2">
      <c r="A10" s="41"/>
      <c r="B10" s="42" t="s">
        <v>11</v>
      </c>
      <c r="C10" s="43" t="s">
        <v>31</v>
      </c>
      <c r="D10" s="42" t="str">
        <f>B10</f>
        <v>MWh</v>
      </c>
      <c r="E10" s="43" t="s">
        <v>31</v>
      </c>
      <c r="F10" s="42" t="str">
        <f>D10</f>
        <v>MWh</v>
      </c>
      <c r="G10" s="43" t="s">
        <v>31</v>
      </c>
      <c r="H10" s="42" t="str">
        <f>F10</f>
        <v>MWh</v>
      </c>
      <c r="I10" s="43" t="s">
        <v>30</v>
      </c>
    </row>
    <row r="11" spans="1:15" ht="18" customHeight="1" x14ac:dyDescent="0.2">
      <c r="A11" s="44" t="s">
        <v>13</v>
      </c>
      <c r="B11" s="74">
        <f>[1]Check!$H$24</f>
        <v>75985.766999999862</v>
      </c>
      <c r="C11" s="45">
        <f>IF(B11=0,0,B11/$B$13)</f>
        <v>0.39396093356179912</v>
      </c>
      <c r="D11" s="74">
        <f>[1]Check!$H$25</f>
        <v>110028.79718800004</v>
      </c>
      <c r="E11" s="45">
        <f>IF(D11=0,0,D11/$D$13)</f>
        <v>0.73176679999400807</v>
      </c>
      <c r="F11" s="74">
        <f>[1]Check!$H$26</f>
        <v>101776.15781199995</v>
      </c>
      <c r="G11" s="45">
        <f>IF(F11=0,0,F11/$F$13)</f>
        <v>0.92876525877439897</v>
      </c>
      <c r="H11" s="46">
        <f>IF(B11+D11+F11=0,0,B11+D11+F11)</f>
        <v>287790.72199999983</v>
      </c>
      <c r="I11" s="45">
        <f>IF(H11=0,0,H11/$H$13)</f>
        <v>0.63555342718040808</v>
      </c>
    </row>
    <row r="12" spans="1:15" ht="18" customHeight="1" x14ac:dyDescent="0.2">
      <c r="A12" s="44" t="s">
        <v>15</v>
      </c>
      <c r="B12" s="75">
        <f>[1]Check!$H$29</f>
        <v>116890.63399999998</v>
      </c>
      <c r="C12" s="45">
        <f>IF(B12=0,0,B12/$B$13)</f>
        <v>0.60603906643820082</v>
      </c>
      <c r="D12" s="75">
        <f>[1]Check!$H$30</f>
        <v>40331.669000000002</v>
      </c>
      <c r="E12" s="45">
        <f>IF(D12=0,0,D12/$D$13)</f>
        <v>0.26823320000599193</v>
      </c>
      <c r="F12" s="75">
        <f>[1]Check!$H$31</f>
        <v>7806.0610000000015</v>
      </c>
      <c r="G12" s="45">
        <f>IF(F12=0,0,F12/$F$13)</f>
        <v>7.1234741225601E-2</v>
      </c>
      <c r="H12" s="112">
        <f>IF(B12+D12+F12=0,0,B12+D12+F12)</f>
        <v>165028.364</v>
      </c>
      <c r="I12" s="45">
        <f>IF(H12=0,0,H12/$H$13)</f>
        <v>0.36444657281959192</v>
      </c>
    </row>
    <row r="13" spans="1:15" ht="18" customHeight="1" x14ac:dyDescent="0.2">
      <c r="A13" s="44" t="s">
        <v>16</v>
      </c>
      <c r="B13" s="47">
        <f>SUM(B11:B12)</f>
        <v>192876.40099999984</v>
      </c>
      <c r="C13" s="48"/>
      <c r="D13" s="47">
        <f>SUM(D11:D12)</f>
        <v>150360.46618800005</v>
      </c>
      <c r="E13" s="48"/>
      <c r="F13" s="47">
        <f>SUM(F11:F12)</f>
        <v>109582.21881199995</v>
      </c>
      <c r="G13" s="48"/>
      <c r="H13" s="47">
        <f>IF(H11+H12=0,0,H11+H12)</f>
        <v>452819.08599999984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287,791 MWh, or 63.6%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165,028 MHh, or 36.4%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40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42</v>
      </c>
      <c r="C18" s="56"/>
      <c r="D18" s="36" t="s">
        <v>8</v>
      </c>
      <c r="E18" s="57"/>
      <c r="F18" s="36" t="s">
        <v>9</v>
      </c>
      <c r="G18" s="39"/>
      <c r="H18" s="36" t="s">
        <v>44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D19</f>
        <v>Customers</v>
      </c>
      <c r="G19" s="43" t="s">
        <v>31</v>
      </c>
      <c r="H19" s="42" t="str">
        <f>F19</f>
        <v>Customers</v>
      </c>
      <c r="I19" s="43" t="s">
        <v>30</v>
      </c>
    </row>
    <row r="20" spans="1:17" ht="18" customHeight="1" x14ac:dyDescent="0.2">
      <c r="A20" s="44" t="str">
        <f>A11</f>
        <v>Suppliers</v>
      </c>
      <c r="B20" s="74">
        <f>[2]Summary!$B$18</f>
        <v>107081</v>
      </c>
      <c r="C20" s="45">
        <f>IF(B20=0,0,B20/$B$22)</f>
        <v>0.35651122993228079</v>
      </c>
      <c r="D20" s="74">
        <f>[2]Summary!$B$19</f>
        <v>22102</v>
      </c>
      <c r="E20" s="58">
        <f>IF(D20=0,0,D20/$D$22)</f>
        <v>0.56930170259897483</v>
      </c>
      <c r="F20" s="74">
        <f>[2]Summary!$B$20</f>
        <v>221</v>
      </c>
      <c r="G20" s="45">
        <f>IF(F20=0,0,F20/$F$22)</f>
        <v>0.89837398373983735</v>
      </c>
      <c r="H20" s="46">
        <f>IF(B20+D20+F20=0,0,B20+D20+F20)</f>
        <v>129404</v>
      </c>
      <c r="I20" s="45">
        <f>IF(H20=0,0,H20/$H$22)</f>
        <v>0.38124250575234142</v>
      </c>
      <c r="J20" s="59"/>
      <c r="M20" s="111"/>
    </row>
    <row r="21" spans="1:17" ht="18" customHeight="1" x14ac:dyDescent="0.2">
      <c r="A21" s="44" t="str">
        <f>A12</f>
        <v>UI</v>
      </c>
      <c r="B21" s="75">
        <f>[2]Summary!$B$22</f>
        <v>193277</v>
      </c>
      <c r="C21" s="45">
        <f>IF(B21=0,0,B21/$B$22)</f>
        <v>0.64348877006771921</v>
      </c>
      <c r="D21" s="75">
        <f>[2]Summary!$B$23</f>
        <v>16721</v>
      </c>
      <c r="E21" s="58">
        <f>IF(D21=0,0,D21/$D$22)</f>
        <v>0.43069829740102517</v>
      </c>
      <c r="F21" s="75">
        <f>[2]Summary!$B$24</f>
        <v>25</v>
      </c>
      <c r="G21" s="45">
        <f>IF(F21=0,0,F21/$F$22)</f>
        <v>0.1016260162601626</v>
      </c>
      <c r="H21" s="75">
        <f>IF(B21+D21+F21=0,0,B21+D21+F21)</f>
        <v>210023</v>
      </c>
      <c r="I21" s="45">
        <f>IF(H21=0,0,H21/$H$22)</f>
        <v>0.61875749424765858</v>
      </c>
    </row>
    <row r="22" spans="1:17" ht="18" customHeight="1" x14ac:dyDescent="0.2">
      <c r="A22" s="44" t="str">
        <f>A13</f>
        <v xml:space="preserve">     Total</v>
      </c>
      <c r="B22" s="47">
        <f>SUM(B20:B21)</f>
        <v>300358</v>
      </c>
      <c r="C22" s="60"/>
      <c r="D22" s="47">
        <f>SUM(D20:D21)</f>
        <v>38823</v>
      </c>
      <c r="E22" s="48"/>
      <c r="F22" s="47">
        <f>SUM(F20:F21)</f>
        <v>246</v>
      </c>
      <c r="G22" s="48"/>
      <c r="H22" s="47">
        <f>IF(H20+H21=0,0,H20+H21)</f>
        <v>339427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129,404 of UI's total customers, or 38.1%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210,023 or 61.9%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39</v>
      </c>
      <c r="I28" s="111"/>
    </row>
    <row r="29" spans="1:17" ht="13.5" x14ac:dyDescent="0.2">
      <c r="A29" s="71" t="s">
        <v>43</v>
      </c>
    </row>
    <row r="30" spans="1:17" ht="13.5" x14ac:dyDescent="0.2">
      <c r="A30" s="71" t="s">
        <v>78</v>
      </c>
    </row>
    <row r="31" spans="1:17" x14ac:dyDescent="0.2">
      <c r="A31" s="72" t="s">
        <v>29</v>
      </c>
    </row>
    <row r="32" spans="1:17" x14ac:dyDescent="0.2">
      <c r="A32" s="72" t="s">
        <v>35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showGridLines="0" showZeros="0" topLeftCell="A38" zoomScaleNormal="100" workbookViewId="0">
      <selection activeCell="K66" sqref="K66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21" t="s">
        <v>105</v>
      </c>
      <c r="B2" s="121"/>
      <c r="C2" s="121"/>
      <c r="D2" s="121"/>
      <c r="E2" s="121"/>
      <c r="F2" s="121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January 31, 2017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">
      <c r="A9" s="23">
        <v>1</v>
      </c>
      <c r="B9" s="24" t="s">
        <v>88</v>
      </c>
      <c r="C9" s="77">
        <v>679</v>
      </c>
      <c r="D9" s="77">
        <v>287</v>
      </c>
      <c r="E9" s="113">
        <f>SUM(C9:D9)</f>
        <v>966</v>
      </c>
      <c r="F9" s="25">
        <f>IF(E9=0,"",E9/$E$69)</f>
        <v>7.4649933541467038E-3</v>
      </c>
    </row>
    <row r="10" spans="1:11" ht="14.25" customHeight="1" x14ac:dyDescent="0.2">
      <c r="A10" s="23">
        <v>2</v>
      </c>
      <c r="B10" s="24" t="s">
        <v>87</v>
      </c>
      <c r="C10" s="77">
        <v>476</v>
      </c>
      <c r="D10" s="77">
        <v>346</v>
      </c>
      <c r="E10" s="113">
        <f t="shared" ref="E10:E68" si="0">SUM(C10:D10)</f>
        <v>822</v>
      </c>
      <c r="F10" s="25">
        <f t="shared" ref="F10:F69" si="1">IF(E10=0,"",E10/$E$69)</f>
        <v>6.3521993137770081E-3</v>
      </c>
    </row>
    <row r="11" spans="1:11" ht="14.25" customHeight="1" x14ac:dyDescent="0.2">
      <c r="A11" s="23">
        <v>3</v>
      </c>
      <c r="B11" s="24" t="s">
        <v>106</v>
      </c>
      <c r="C11" s="77">
        <v>411</v>
      </c>
      <c r="D11" s="77">
        <v>628</v>
      </c>
      <c r="E11" s="113">
        <f t="shared" si="0"/>
        <v>1039</v>
      </c>
      <c r="F11" s="25">
        <f t="shared" si="1"/>
        <v>8.0291181107230072E-3</v>
      </c>
    </row>
    <row r="12" spans="1:11" ht="14.25" customHeight="1" x14ac:dyDescent="0.2">
      <c r="A12" s="23">
        <v>4</v>
      </c>
      <c r="B12" s="110" t="s">
        <v>82</v>
      </c>
      <c r="C12" s="77">
        <v>10501</v>
      </c>
      <c r="D12" s="77">
        <v>781</v>
      </c>
      <c r="E12" s="113">
        <f t="shared" si="0"/>
        <v>11282</v>
      </c>
      <c r="F12" s="25">
        <f t="shared" si="1"/>
        <v>8.7184321968409015E-2</v>
      </c>
    </row>
    <row r="13" spans="1:11" ht="14.25" customHeight="1" x14ac:dyDescent="0.2">
      <c r="A13" s="23">
        <v>5</v>
      </c>
      <c r="B13" s="110" t="s">
        <v>108</v>
      </c>
      <c r="C13" s="77">
        <v>0</v>
      </c>
      <c r="D13" s="77">
        <v>5</v>
      </c>
      <c r="E13" s="113">
        <f t="shared" si="0"/>
        <v>5</v>
      </c>
      <c r="F13" s="25"/>
    </row>
    <row r="14" spans="1:11" ht="14.25" customHeight="1" x14ac:dyDescent="0.2">
      <c r="A14" s="23">
        <v>6</v>
      </c>
      <c r="B14" s="110" t="s">
        <v>92</v>
      </c>
      <c r="C14" s="77">
        <v>0</v>
      </c>
      <c r="D14" s="77">
        <v>0</v>
      </c>
      <c r="E14" s="113">
        <f t="shared" si="0"/>
        <v>0</v>
      </c>
      <c r="F14" s="25" t="str">
        <f t="shared" si="1"/>
        <v/>
      </c>
    </row>
    <row r="15" spans="1:11" ht="14.25" customHeight="1" x14ac:dyDescent="0.2">
      <c r="A15" s="23">
        <v>7</v>
      </c>
      <c r="B15" s="24" t="s">
        <v>102</v>
      </c>
      <c r="C15" s="77">
        <v>4</v>
      </c>
      <c r="D15" s="77">
        <v>114</v>
      </c>
      <c r="E15" s="113">
        <f t="shared" si="0"/>
        <v>118</v>
      </c>
      <c r="F15" s="25">
        <f t="shared" si="1"/>
        <v>9.118728941918333E-4</v>
      </c>
    </row>
    <row r="16" spans="1:11" ht="14.25" customHeight="1" x14ac:dyDescent="0.2">
      <c r="A16" s="23">
        <v>8</v>
      </c>
      <c r="B16" s="24" t="s">
        <v>107</v>
      </c>
      <c r="C16" s="77">
        <v>29</v>
      </c>
      <c r="D16" s="77">
        <v>156</v>
      </c>
      <c r="E16" s="113">
        <f t="shared" si="0"/>
        <v>185</v>
      </c>
      <c r="F16" s="25">
        <f t="shared" si="1"/>
        <v>1.4296312324193997E-3</v>
      </c>
    </row>
    <row r="17" spans="1:6" ht="14.25" customHeight="1" x14ac:dyDescent="0.2">
      <c r="A17" s="23">
        <v>9</v>
      </c>
      <c r="B17" s="24" t="s">
        <v>115</v>
      </c>
      <c r="C17" s="77">
        <v>17</v>
      </c>
      <c r="D17" s="77">
        <v>3059</v>
      </c>
      <c r="E17" s="113">
        <f t="shared" si="0"/>
        <v>3076</v>
      </c>
      <c r="F17" s="25">
        <f t="shared" si="1"/>
        <v>2.3770517140119317E-2</v>
      </c>
    </row>
    <row r="18" spans="1:6" ht="14.25" customHeight="1" x14ac:dyDescent="0.2">
      <c r="A18" s="23">
        <v>10</v>
      </c>
      <c r="B18" s="24" t="s">
        <v>110</v>
      </c>
      <c r="C18" s="77">
        <v>0</v>
      </c>
      <c r="D18" s="77">
        <v>20</v>
      </c>
      <c r="E18" s="113">
        <f t="shared" si="0"/>
        <v>20</v>
      </c>
      <c r="F18" s="25">
        <f t="shared" si="1"/>
        <v>1.5455472782912431E-4</v>
      </c>
    </row>
    <row r="19" spans="1:6" ht="14.25" customHeight="1" x14ac:dyDescent="0.2">
      <c r="A19" s="23">
        <v>11</v>
      </c>
      <c r="B19" s="24" t="s">
        <v>53</v>
      </c>
      <c r="C19" s="77">
        <v>1063</v>
      </c>
      <c r="D19" s="77">
        <v>27</v>
      </c>
      <c r="E19" s="113">
        <f t="shared" si="0"/>
        <v>1090</v>
      </c>
      <c r="F19" s="25"/>
    </row>
    <row r="20" spans="1:6" ht="14.25" customHeight="1" x14ac:dyDescent="0.2">
      <c r="A20" s="23">
        <v>12</v>
      </c>
      <c r="B20" s="110" t="s">
        <v>52</v>
      </c>
      <c r="C20" s="77">
        <v>0</v>
      </c>
      <c r="D20" s="77">
        <v>0</v>
      </c>
      <c r="E20" s="113">
        <f t="shared" si="0"/>
        <v>0</v>
      </c>
      <c r="F20" s="25" t="str">
        <f t="shared" si="1"/>
        <v/>
      </c>
    </row>
    <row r="21" spans="1:6" ht="14.25" customHeight="1" x14ac:dyDescent="0.2">
      <c r="A21" s="23">
        <v>13</v>
      </c>
      <c r="B21" s="24" t="s">
        <v>10</v>
      </c>
      <c r="C21" s="77">
        <v>4045</v>
      </c>
      <c r="D21" s="77">
        <v>20</v>
      </c>
      <c r="E21" s="113">
        <f t="shared" si="0"/>
        <v>4065</v>
      </c>
      <c r="F21" s="25">
        <f t="shared" si="1"/>
        <v>3.1413248431269511E-2</v>
      </c>
    </row>
    <row r="22" spans="1:6" ht="14.25" customHeight="1" x14ac:dyDescent="0.2">
      <c r="A22" s="23">
        <v>14</v>
      </c>
      <c r="B22" s="24" t="s">
        <v>12</v>
      </c>
      <c r="C22" s="77">
        <v>9352</v>
      </c>
      <c r="D22" s="77">
        <v>1078</v>
      </c>
      <c r="E22" s="113">
        <f t="shared" si="0"/>
        <v>10430</v>
      </c>
      <c r="F22" s="25">
        <f t="shared" si="1"/>
        <v>8.0600290562888324E-2</v>
      </c>
    </row>
    <row r="23" spans="1:6" ht="14.25" customHeight="1" x14ac:dyDescent="0.2">
      <c r="A23" s="23">
        <v>15</v>
      </c>
      <c r="B23" s="110" t="s">
        <v>84</v>
      </c>
      <c r="C23" s="77">
        <v>148</v>
      </c>
      <c r="D23" s="77">
        <v>68</v>
      </c>
      <c r="E23" s="113">
        <f t="shared" si="0"/>
        <v>216</v>
      </c>
      <c r="F23" s="25">
        <f t="shared" si="1"/>
        <v>1.6691910605545423E-3</v>
      </c>
    </row>
    <row r="24" spans="1:6" ht="14.25" customHeight="1" x14ac:dyDescent="0.2">
      <c r="A24" s="23">
        <v>16</v>
      </c>
      <c r="B24" s="110" t="s">
        <v>14</v>
      </c>
      <c r="C24" s="77">
        <v>338</v>
      </c>
      <c r="D24" s="77">
        <v>3015</v>
      </c>
      <c r="E24" s="113">
        <f t="shared" si="0"/>
        <v>3353</v>
      </c>
      <c r="F24" s="25">
        <f t="shared" si="1"/>
        <v>2.5911100120552689E-2</v>
      </c>
    </row>
    <row r="25" spans="1:6" ht="14.25" customHeight="1" x14ac:dyDescent="0.2">
      <c r="A25" s="23">
        <v>17</v>
      </c>
      <c r="B25" s="78" t="s">
        <v>81</v>
      </c>
      <c r="C25" s="77">
        <v>984</v>
      </c>
      <c r="D25" s="77">
        <v>119</v>
      </c>
      <c r="E25" s="113">
        <f t="shared" si="0"/>
        <v>1103</v>
      </c>
      <c r="F25" s="25">
        <f t="shared" si="1"/>
        <v>8.5236932397762047E-3</v>
      </c>
    </row>
    <row r="26" spans="1:6" ht="14.25" customHeight="1" x14ac:dyDescent="0.2">
      <c r="A26" s="23">
        <v>18</v>
      </c>
      <c r="B26" s="110" t="s">
        <v>96</v>
      </c>
      <c r="C26" s="77">
        <v>66</v>
      </c>
      <c r="D26" s="77">
        <v>918</v>
      </c>
      <c r="E26" s="113">
        <f t="shared" si="0"/>
        <v>984</v>
      </c>
      <c r="F26" s="25">
        <f t="shared" si="1"/>
        <v>7.6040926091929155E-3</v>
      </c>
    </row>
    <row r="27" spans="1:6" ht="14.25" customHeight="1" x14ac:dyDescent="0.2">
      <c r="A27" s="23">
        <v>19</v>
      </c>
      <c r="B27" s="78" t="s">
        <v>97</v>
      </c>
      <c r="C27" s="77">
        <v>13085</v>
      </c>
      <c r="D27" s="77">
        <v>3398</v>
      </c>
      <c r="E27" s="113">
        <f t="shared" si="0"/>
        <v>16483</v>
      </c>
      <c r="F27" s="25">
        <f t="shared" si="1"/>
        <v>0.12737627894037279</v>
      </c>
    </row>
    <row r="28" spans="1:6" ht="14.25" customHeight="1" x14ac:dyDescent="0.2">
      <c r="A28" s="23">
        <v>20</v>
      </c>
      <c r="B28" s="24" t="s">
        <v>49</v>
      </c>
      <c r="C28" s="77">
        <v>3677</v>
      </c>
      <c r="D28" s="77">
        <v>344</v>
      </c>
      <c r="E28" s="113">
        <f t="shared" si="0"/>
        <v>4021</v>
      </c>
      <c r="F28" s="25">
        <f t="shared" si="1"/>
        <v>3.107322803004544E-2</v>
      </c>
    </row>
    <row r="29" spans="1:6" ht="14.25" customHeight="1" x14ac:dyDescent="0.2">
      <c r="A29" s="23">
        <v>21</v>
      </c>
      <c r="B29" s="24" t="s">
        <v>90</v>
      </c>
      <c r="C29" s="77">
        <v>0</v>
      </c>
      <c r="D29" s="77">
        <v>0</v>
      </c>
      <c r="E29" s="113">
        <f t="shared" si="0"/>
        <v>0</v>
      </c>
      <c r="F29" s="25"/>
    </row>
    <row r="30" spans="1:6" ht="14.25" customHeight="1" x14ac:dyDescent="0.2">
      <c r="A30" s="23">
        <v>22</v>
      </c>
      <c r="B30" s="24" t="s">
        <v>45</v>
      </c>
      <c r="C30" s="77">
        <v>781</v>
      </c>
      <c r="D30" s="77">
        <v>156</v>
      </c>
      <c r="E30" s="113">
        <f t="shared" si="0"/>
        <v>937</v>
      </c>
      <c r="F30" s="25">
        <f t="shared" si="1"/>
        <v>7.2408889987944734E-3</v>
      </c>
    </row>
    <row r="31" spans="1:6" ht="14.25" customHeight="1" x14ac:dyDescent="0.2">
      <c r="A31" s="23">
        <v>23</v>
      </c>
      <c r="B31" s="24" t="s">
        <v>109</v>
      </c>
      <c r="C31" s="77">
        <v>91</v>
      </c>
      <c r="D31" s="77">
        <v>692</v>
      </c>
      <c r="E31" s="113">
        <f t="shared" si="0"/>
        <v>783</v>
      </c>
      <c r="F31" s="25">
        <f t="shared" si="1"/>
        <v>6.0508175945102162E-3</v>
      </c>
    </row>
    <row r="32" spans="1:6" ht="14.25" customHeight="1" x14ac:dyDescent="0.2">
      <c r="A32" s="23">
        <v>24</v>
      </c>
      <c r="B32" s="110" t="s">
        <v>111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">
      <c r="A33" s="23">
        <v>25</v>
      </c>
      <c r="B33" s="24" t="s">
        <v>116</v>
      </c>
      <c r="C33" s="77">
        <v>2</v>
      </c>
      <c r="D33" s="77">
        <v>0</v>
      </c>
      <c r="E33" s="113">
        <f t="shared" si="0"/>
        <v>2</v>
      </c>
      <c r="F33" s="25">
        <f t="shared" si="1"/>
        <v>1.5455472782912429E-5</v>
      </c>
    </row>
    <row r="34" spans="1:6" ht="14.25" customHeight="1" x14ac:dyDescent="0.2">
      <c r="A34" s="23">
        <v>26</v>
      </c>
      <c r="B34" s="24" t="s">
        <v>112</v>
      </c>
      <c r="C34" s="77">
        <v>3954</v>
      </c>
      <c r="D34" s="77">
        <v>19</v>
      </c>
      <c r="E34" s="113">
        <f t="shared" si="0"/>
        <v>3973</v>
      </c>
      <c r="F34" s="25">
        <f t="shared" si="1"/>
        <v>3.0702296683255539E-2</v>
      </c>
    </row>
    <row r="35" spans="1:6" ht="14.25" customHeight="1" x14ac:dyDescent="0.2">
      <c r="A35" s="23">
        <v>27</v>
      </c>
      <c r="B35" s="24" t="s">
        <v>17</v>
      </c>
      <c r="C35" s="77">
        <v>0</v>
      </c>
      <c r="D35" s="77">
        <v>0</v>
      </c>
      <c r="E35" s="113">
        <f t="shared" si="0"/>
        <v>0</v>
      </c>
      <c r="F35" s="25" t="str">
        <f t="shared" si="1"/>
        <v/>
      </c>
    </row>
    <row r="36" spans="1:6" ht="14.25" customHeight="1" x14ac:dyDescent="0.2">
      <c r="A36" s="23">
        <v>28</v>
      </c>
      <c r="B36" s="110" t="s">
        <v>60</v>
      </c>
      <c r="C36" s="77">
        <v>0</v>
      </c>
      <c r="D36" s="77">
        <v>0</v>
      </c>
      <c r="E36" s="113">
        <f t="shared" si="0"/>
        <v>0</v>
      </c>
      <c r="F36" s="25" t="str">
        <f t="shared" si="1"/>
        <v/>
      </c>
    </row>
    <row r="37" spans="1:6" ht="14.25" customHeight="1" x14ac:dyDescent="0.2">
      <c r="A37" s="23">
        <v>29</v>
      </c>
      <c r="B37" s="24" t="s">
        <v>18</v>
      </c>
      <c r="C37" s="77">
        <v>0</v>
      </c>
      <c r="D37" s="77">
        <v>0</v>
      </c>
      <c r="E37" s="113">
        <f t="shared" si="0"/>
        <v>0</v>
      </c>
      <c r="F37" s="25" t="str">
        <f t="shared" si="1"/>
        <v/>
      </c>
    </row>
    <row r="38" spans="1:6" ht="14.25" customHeight="1" x14ac:dyDescent="0.2">
      <c r="A38" s="23">
        <v>30</v>
      </c>
      <c r="B38" s="24" t="s">
        <v>100</v>
      </c>
      <c r="C38" s="77">
        <v>8</v>
      </c>
      <c r="D38" s="77">
        <v>68</v>
      </c>
      <c r="E38" s="113">
        <f t="shared" si="0"/>
        <v>76</v>
      </c>
      <c r="F38" s="25">
        <f t="shared" si="1"/>
        <v>5.8730796575067227E-4</v>
      </c>
    </row>
    <row r="39" spans="1:6" ht="14.25" customHeight="1" x14ac:dyDescent="0.2">
      <c r="A39" s="23">
        <v>31</v>
      </c>
      <c r="B39" s="110" t="s">
        <v>89</v>
      </c>
      <c r="C39" s="77">
        <v>1171</v>
      </c>
      <c r="D39" s="77">
        <v>11</v>
      </c>
      <c r="E39" s="113">
        <f t="shared" si="0"/>
        <v>1182</v>
      </c>
      <c r="F39" s="25">
        <f t="shared" si="1"/>
        <v>9.1341844147012456E-3</v>
      </c>
    </row>
    <row r="40" spans="1:6" ht="14.25" customHeight="1" x14ac:dyDescent="0.2">
      <c r="A40" s="23">
        <v>32</v>
      </c>
      <c r="B40" s="24" t="s">
        <v>59</v>
      </c>
      <c r="C40" s="77">
        <v>0</v>
      </c>
      <c r="D40" s="77">
        <v>0</v>
      </c>
      <c r="E40" s="113">
        <f t="shared" si="0"/>
        <v>0</v>
      </c>
      <c r="F40" s="25" t="str">
        <f t="shared" si="1"/>
        <v/>
      </c>
    </row>
    <row r="41" spans="1:6" ht="14.25" customHeight="1" x14ac:dyDescent="0.2">
      <c r="A41" s="23">
        <v>33</v>
      </c>
      <c r="B41" s="110" t="s">
        <v>76</v>
      </c>
      <c r="C41" s="77">
        <v>0</v>
      </c>
      <c r="D41" s="77">
        <v>0</v>
      </c>
      <c r="E41" s="113">
        <f t="shared" si="0"/>
        <v>0</v>
      </c>
      <c r="F41" s="25" t="str">
        <f t="shared" si="1"/>
        <v/>
      </c>
    </row>
    <row r="42" spans="1:6" ht="14.25" customHeight="1" x14ac:dyDescent="0.2">
      <c r="A42" s="23">
        <v>34</v>
      </c>
      <c r="B42" s="110" t="s">
        <v>19</v>
      </c>
      <c r="C42" s="77">
        <v>457</v>
      </c>
      <c r="D42" s="77">
        <v>993</v>
      </c>
      <c r="E42" s="113">
        <f t="shared" si="0"/>
        <v>1450</v>
      </c>
      <c r="F42" s="25">
        <f t="shared" si="1"/>
        <v>1.1205217767611511E-2</v>
      </c>
    </row>
    <row r="43" spans="1:6" ht="14.25" customHeight="1" x14ac:dyDescent="0.2">
      <c r="A43" s="23">
        <v>35</v>
      </c>
      <c r="B43" s="24" t="s">
        <v>20</v>
      </c>
      <c r="C43" s="77">
        <v>0</v>
      </c>
      <c r="D43" s="77">
        <v>0</v>
      </c>
      <c r="E43" s="113">
        <f t="shared" si="0"/>
        <v>0</v>
      </c>
      <c r="F43" s="25" t="str">
        <f t="shared" si="1"/>
        <v/>
      </c>
    </row>
    <row r="44" spans="1:6" ht="14.25" customHeight="1" x14ac:dyDescent="0.2">
      <c r="A44" s="23">
        <v>36</v>
      </c>
      <c r="B44" s="24" t="s">
        <v>21</v>
      </c>
      <c r="C44" s="77">
        <v>4816</v>
      </c>
      <c r="D44" s="77">
        <v>437</v>
      </c>
      <c r="E44" s="113">
        <f t="shared" si="0"/>
        <v>5253</v>
      </c>
      <c r="F44" s="25">
        <f t="shared" si="1"/>
        <v>4.0593799264319497E-2</v>
      </c>
    </row>
    <row r="45" spans="1:6" ht="14.25" customHeight="1" x14ac:dyDescent="0.2">
      <c r="A45" s="23">
        <v>37</v>
      </c>
      <c r="B45" s="110" t="s">
        <v>113</v>
      </c>
      <c r="C45" s="77">
        <v>1</v>
      </c>
      <c r="D45" s="77">
        <v>0</v>
      </c>
      <c r="E45" s="113">
        <f t="shared" si="0"/>
        <v>1</v>
      </c>
      <c r="F45" s="25">
        <f t="shared" si="1"/>
        <v>7.7277363914562146E-6</v>
      </c>
    </row>
    <row r="46" spans="1:6" ht="14.25" customHeight="1" x14ac:dyDescent="0.2">
      <c r="A46" s="23">
        <v>38</v>
      </c>
      <c r="B46" s="110" t="s">
        <v>93</v>
      </c>
      <c r="C46" s="77">
        <v>171</v>
      </c>
      <c r="D46" s="77">
        <v>34</v>
      </c>
      <c r="E46" s="113">
        <f t="shared" si="0"/>
        <v>205</v>
      </c>
      <c r="F46" s="25">
        <f t="shared" si="1"/>
        <v>1.584185960248524E-3</v>
      </c>
    </row>
    <row r="47" spans="1:6" ht="14.25" customHeight="1" x14ac:dyDescent="0.2">
      <c r="A47" s="23">
        <v>39</v>
      </c>
      <c r="B47" s="24" t="s">
        <v>77</v>
      </c>
      <c r="C47" s="77">
        <v>1</v>
      </c>
      <c r="D47" s="77">
        <v>56</v>
      </c>
      <c r="E47" s="113">
        <f t="shared" si="0"/>
        <v>57</v>
      </c>
      <c r="F47" s="25">
        <f t="shared" si="1"/>
        <v>4.4048097431300423E-4</v>
      </c>
    </row>
    <row r="48" spans="1:6" ht="14.25" customHeight="1" x14ac:dyDescent="0.2">
      <c r="A48" s="23">
        <v>40</v>
      </c>
      <c r="B48" s="24" t="s">
        <v>91</v>
      </c>
      <c r="C48" s="77">
        <v>368</v>
      </c>
      <c r="D48" s="77">
        <v>1340</v>
      </c>
      <c r="E48" s="113">
        <f t="shared" si="0"/>
        <v>1708</v>
      </c>
      <c r="F48" s="25">
        <f t="shared" si="1"/>
        <v>1.3198973756607215E-2</v>
      </c>
    </row>
    <row r="49" spans="1:6" ht="14.25" customHeight="1" x14ac:dyDescent="0.2">
      <c r="A49" s="23">
        <v>41</v>
      </c>
      <c r="B49" s="110" t="s">
        <v>50</v>
      </c>
      <c r="C49" s="77">
        <v>9384</v>
      </c>
      <c r="D49" s="77">
        <v>219</v>
      </c>
      <c r="E49" s="113">
        <f t="shared" si="0"/>
        <v>9603</v>
      </c>
      <c r="F49" s="25">
        <f t="shared" si="1"/>
        <v>7.4209452567154027E-2</v>
      </c>
    </row>
    <row r="50" spans="1:6" ht="14.25" customHeight="1" x14ac:dyDescent="0.2">
      <c r="A50" s="23">
        <v>42</v>
      </c>
      <c r="B50" s="110" t="s">
        <v>58</v>
      </c>
      <c r="C50" s="77">
        <v>315</v>
      </c>
      <c r="D50" s="77">
        <v>8</v>
      </c>
      <c r="E50" s="113">
        <f t="shared" si="0"/>
        <v>323</v>
      </c>
      <c r="F50" s="25"/>
    </row>
    <row r="51" spans="1:6" x14ac:dyDescent="0.2">
      <c r="A51" s="23">
        <v>43</v>
      </c>
      <c r="B51" s="79" t="s">
        <v>94</v>
      </c>
      <c r="C51" s="77">
        <v>0</v>
      </c>
      <c r="D51" s="77">
        <v>0</v>
      </c>
      <c r="E51" s="113">
        <f t="shared" si="0"/>
        <v>0</v>
      </c>
      <c r="F51" s="25" t="str">
        <f t="shared" si="1"/>
        <v/>
      </c>
    </row>
    <row r="52" spans="1:6" x14ac:dyDescent="0.2">
      <c r="A52" s="23">
        <v>44</v>
      </c>
      <c r="B52" s="24" t="s">
        <v>85</v>
      </c>
      <c r="C52" s="77">
        <v>2320</v>
      </c>
      <c r="D52" s="77">
        <v>198</v>
      </c>
      <c r="E52" s="113">
        <f t="shared" si="0"/>
        <v>2518</v>
      </c>
      <c r="F52" s="25">
        <f t="shared" si="1"/>
        <v>1.9458440233686747E-2</v>
      </c>
    </row>
    <row r="53" spans="1:6" x14ac:dyDescent="0.2">
      <c r="A53" s="23">
        <v>45</v>
      </c>
      <c r="B53" s="24" t="s">
        <v>23</v>
      </c>
      <c r="C53" s="77">
        <v>9411</v>
      </c>
      <c r="D53" s="77">
        <v>987</v>
      </c>
      <c r="E53" s="113">
        <f t="shared" si="0"/>
        <v>10398</v>
      </c>
      <c r="F53" s="25">
        <f t="shared" si="1"/>
        <v>8.0353002998361719E-2</v>
      </c>
    </row>
    <row r="54" spans="1:6" x14ac:dyDescent="0.2">
      <c r="A54" s="23">
        <v>46</v>
      </c>
      <c r="B54" s="24" t="s">
        <v>55</v>
      </c>
      <c r="C54" s="77">
        <v>0</v>
      </c>
      <c r="D54" s="77">
        <v>0</v>
      </c>
      <c r="E54" s="113">
        <f t="shared" si="0"/>
        <v>0</v>
      </c>
      <c r="F54" s="25" t="str">
        <f t="shared" si="1"/>
        <v/>
      </c>
    </row>
    <row r="55" spans="1:6" x14ac:dyDescent="0.2">
      <c r="A55" s="23">
        <v>47</v>
      </c>
      <c r="B55" s="110" t="s">
        <v>86</v>
      </c>
      <c r="C55" s="77">
        <v>1651</v>
      </c>
      <c r="D55" s="77">
        <v>304</v>
      </c>
      <c r="E55" s="113">
        <f t="shared" si="0"/>
        <v>1955</v>
      </c>
      <c r="F55" s="25">
        <f t="shared" si="1"/>
        <v>1.51077246452969E-2</v>
      </c>
    </row>
    <row r="56" spans="1:6" x14ac:dyDescent="0.2">
      <c r="A56" s="23">
        <v>48</v>
      </c>
      <c r="B56" s="24" t="s">
        <v>48</v>
      </c>
      <c r="C56" s="77">
        <v>0</v>
      </c>
      <c r="D56" s="77">
        <v>0</v>
      </c>
      <c r="E56" s="113">
        <f t="shared" si="0"/>
        <v>0</v>
      </c>
      <c r="F56" s="25" t="str">
        <f t="shared" si="1"/>
        <v/>
      </c>
    </row>
    <row r="57" spans="1:6" x14ac:dyDescent="0.2">
      <c r="A57" s="23">
        <v>49</v>
      </c>
      <c r="B57" s="24" t="s">
        <v>54</v>
      </c>
      <c r="C57" s="77">
        <v>0</v>
      </c>
      <c r="D57" s="77">
        <v>0</v>
      </c>
      <c r="E57" s="113">
        <f t="shared" si="0"/>
        <v>0</v>
      </c>
      <c r="F57" s="25" t="str">
        <f t="shared" si="1"/>
        <v/>
      </c>
    </row>
    <row r="58" spans="1:6" x14ac:dyDescent="0.2">
      <c r="A58" s="23">
        <v>50</v>
      </c>
      <c r="B58" s="24" t="s">
        <v>57</v>
      </c>
      <c r="C58" s="77">
        <v>4584</v>
      </c>
      <c r="D58" s="77">
        <v>696</v>
      </c>
      <c r="E58" s="113">
        <f t="shared" si="0"/>
        <v>5280</v>
      </c>
      <c r="F58" s="25">
        <f t="shared" si="1"/>
        <v>4.0802448146888812E-2</v>
      </c>
    </row>
    <row r="59" spans="1:6" x14ac:dyDescent="0.2">
      <c r="A59" s="23">
        <v>51</v>
      </c>
      <c r="B59" s="24" t="s">
        <v>51</v>
      </c>
      <c r="C59" s="77">
        <v>3446</v>
      </c>
      <c r="D59" s="77">
        <v>161</v>
      </c>
      <c r="E59" s="113">
        <f t="shared" si="0"/>
        <v>3607</v>
      </c>
      <c r="F59" s="25">
        <f t="shared" si="1"/>
        <v>2.7873945163982568E-2</v>
      </c>
    </row>
    <row r="60" spans="1:6" x14ac:dyDescent="0.2">
      <c r="A60" s="23">
        <v>52</v>
      </c>
      <c r="B60" s="24" t="s">
        <v>101</v>
      </c>
      <c r="C60" s="77">
        <v>3611</v>
      </c>
      <c r="D60" s="77">
        <v>340</v>
      </c>
      <c r="E60" s="113">
        <f t="shared" si="0"/>
        <v>3951</v>
      </c>
      <c r="F60" s="25">
        <f t="shared" si="1"/>
        <v>3.0532286482643504E-2</v>
      </c>
    </row>
    <row r="61" spans="1:6" x14ac:dyDescent="0.2">
      <c r="A61" s="23">
        <v>53</v>
      </c>
      <c r="B61" s="78" t="s">
        <v>83</v>
      </c>
      <c r="C61" s="77">
        <v>0</v>
      </c>
      <c r="D61" s="77">
        <v>15</v>
      </c>
      <c r="E61" s="113">
        <f t="shared" si="0"/>
        <v>15</v>
      </c>
      <c r="F61" s="25">
        <f t="shared" si="1"/>
        <v>1.1591604587184322E-4</v>
      </c>
    </row>
    <row r="62" spans="1:6" x14ac:dyDescent="0.2">
      <c r="A62" s="23">
        <v>54</v>
      </c>
      <c r="B62" s="78" t="s">
        <v>104</v>
      </c>
      <c r="C62" s="77">
        <v>4436</v>
      </c>
      <c r="D62" s="77">
        <v>182</v>
      </c>
      <c r="E62" s="113">
        <f t="shared" si="0"/>
        <v>4618</v>
      </c>
      <c r="F62" s="25">
        <f t="shared" si="1"/>
        <v>3.5686686655744801E-2</v>
      </c>
    </row>
    <row r="63" spans="1:6" x14ac:dyDescent="0.2">
      <c r="A63" s="23">
        <v>55</v>
      </c>
      <c r="B63" s="78" t="s">
        <v>103</v>
      </c>
      <c r="C63" s="114">
        <v>4142</v>
      </c>
      <c r="D63" s="114">
        <v>242</v>
      </c>
      <c r="E63" s="113">
        <f t="shared" si="0"/>
        <v>4384</v>
      </c>
      <c r="F63" s="25">
        <f t="shared" si="1"/>
        <v>3.3878396340144043E-2</v>
      </c>
    </row>
    <row r="64" spans="1:6" x14ac:dyDescent="0.2">
      <c r="A64" s="23">
        <v>56</v>
      </c>
      <c r="B64" s="78" t="s">
        <v>24</v>
      </c>
      <c r="C64" s="114">
        <v>64</v>
      </c>
      <c r="D64" s="114">
        <v>212</v>
      </c>
      <c r="E64" s="113">
        <f t="shared" si="0"/>
        <v>276</v>
      </c>
      <c r="F64" s="25">
        <f t="shared" si="1"/>
        <v>2.1328552440419151E-3</v>
      </c>
    </row>
    <row r="65" spans="1:10" x14ac:dyDescent="0.2">
      <c r="A65" s="23">
        <v>57</v>
      </c>
      <c r="B65" s="118" t="s">
        <v>80</v>
      </c>
      <c r="C65" s="114">
        <v>0</v>
      </c>
      <c r="D65" s="114">
        <v>0</v>
      </c>
      <c r="E65" s="113"/>
      <c r="F65" s="25"/>
    </row>
    <row r="66" spans="1:10" x14ac:dyDescent="0.2">
      <c r="A66" s="23">
        <v>58</v>
      </c>
      <c r="B66" s="118" t="s">
        <v>47</v>
      </c>
      <c r="C66" s="77">
        <v>3970</v>
      </c>
      <c r="D66" s="77">
        <v>81</v>
      </c>
      <c r="E66" s="113">
        <f t="shared" si="0"/>
        <v>4051</v>
      </c>
      <c r="F66" s="25">
        <f t="shared" si="1"/>
        <v>3.1305060121789123E-2</v>
      </c>
    </row>
    <row r="67" spans="1:10" x14ac:dyDescent="0.2">
      <c r="A67" s="23">
        <v>59</v>
      </c>
      <c r="B67" s="120" t="s">
        <v>46</v>
      </c>
      <c r="C67" s="77">
        <v>1421</v>
      </c>
      <c r="D67" s="77">
        <v>202</v>
      </c>
      <c r="E67" s="113">
        <f t="shared" si="0"/>
        <v>1623</v>
      </c>
      <c r="F67" s="25">
        <f t="shared" si="1"/>
        <v>1.2542116163333436E-2</v>
      </c>
    </row>
    <row r="68" spans="1:10" ht="13.5" thickBot="1" x14ac:dyDescent="0.25">
      <c r="A68" s="23">
        <v>60</v>
      </c>
      <c r="B68" s="117" t="s">
        <v>79</v>
      </c>
      <c r="C68" s="119">
        <v>1630</v>
      </c>
      <c r="D68" s="119">
        <v>287</v>
      </c>
      <c r="E68" s="113">
        <f t="shared" si="0"/>
        <v>1917</v>
      </c>
      <c r="F68" s="25">
        <f t="shared" si="1"/>
        <v>1.4814070662421564E-2</v>
      </c>
    </row>
    <row r="69" spans="1:10" ht="13.5" thickTop="1" x14ac:dyDescent="0.2">
      <c r="A69" s="12"/>
      <c r="B69" s="6" t="s">
        <v>25</v>
      </c>
      <c r="C69" s="73">
        <f>SUM(C9:C68)</f>
        <v>107081</v>
      </c>
      <c r="D69" s="73">
        <f>SUM(D9:D68)</f>
        <v>22323</v>
      </c>
      <c r="E69" s="73">
        <f>SUM(E9:E68)</f>
        <v>129404</v>
      </c>
      <c r="F69" s="25">
        <f t="shared" si="1"/>
        <v>1</v>
      </c>
    </row>
    <row r="70" spans="1:10" x14ac:dyDescent="0.2">
      <c r="A70" s="2" t="s">
        <v>29</v>
      </c>
      <c r="B70" s="19"/>
      <c r="C70" s="19"/>
      <c r="D70" s="19"/>
      <c r="E70" s="19"/>
    </row>
    <row r="71" spans="1:10" x14ac:dyDescent="0.2">
      <c r="A71" s="2" t="s">
        <v>33</v>
      </c>
      <c r="D71" s="19"/>
      <c r="E71" s="19"/>
    </row>
    <row r="72" spans="1:10" x14ac:dyDescent="0.2">
      <c r="A72" s="2" t="s">
        <v>34</v>
      </c>
      <c r="C72" s="12"/>
      <c r="D72" s="12"/>
      <c r="E72" s="12"/>
    </row>
    <row r="73" spans="1:10" x14ac:dyDescent="0.2">
      <c r="C73" s="12"/>
      <c r="D73" s="12"/>
      <c r="E73" s="12"/>
      <c r="J73" s="116"/>
    </row>
    <row r="74" spans="1:10" x14ac:dyDescent="0.2">
      <c r="B74" s="115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21" t="s">
        <v>105</v>
      </c>
      <c r="B2" s="121"/>
      <c r="C2" s="121"/>
      <c r="D2" s="121"/>
      <c r="E2" s="121"/>
      <c r="F2" s="121"/>
      <c r="G2" s="121"/>
      <c r="H2" s="121"/>
      <c r="I2" s="30"/>
    </row>
    <row r="3" spans="1:9" s="10" customFormat="1" ht="18" customHeight="1" x14ac:dyDescent="0.2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74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January 31, 2017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68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98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37</v>
      </c>
      <c r="E11" s="57"/>
      <c r="F11" s="36" t="s">
        <v>44</v>
      </c>
      <c r="G11" s="38"/>
    </row>
    <row r="12" spans="1:9" ht="18" customHeight="1" x14ac:dyDescent="0.2">
      <c r="A12" s="41"/>
      <c r="B12" s="42" t="s">
        <v>22</v>
      </c>
      <c r="C12" s="43" t="s">
        <v>31</v>
      </c>
      <c r="D12" s="42" t="str">
        <f>B12</f>
        <v>Customers</v>
      </c>
      <c r="E12" s="43" t="s">
        <v>31</v>
      </c>
      <c r="F12" s="42" t="str">
        <f>B12</f>
        <v>Customers</v>
      </c>
      <c r="G12" s="43" t="s">
        <v>30</v>
      </c>
    </row>
    <row r="13" spans="1:9" ht="18" customHeight="1" x14ac:dyDescent="0.2">
      <c r="A13" s="44" t="s">
        <v>70</v>
      </c>
      <c r="B13" s="47">
        <f>REC_programs_detail!B23</f>
        <v>4085</v>
      </c>
      <c r="C13" s="48">
        <f>IF(B13=0,0,B13/'Summary Load Customers '!$B$22)</f>
        <v>1.3600436812070928E-2</v>
      </c>
      <c r="D13" s="47">
        <f>REC_programs_detail!C23</f>
        <v>42</v>
      </c>
      <c r="E13" s="48">
        <f>IF(D13=0,0,D13/('Summary Load Customers '!$D$22+'Summary Load Customers '!$F$22))</f>
        <v>1.0750211164862167E-3</v>
      </c>
      <c r="F13" s="47">
        <f>B13+D13</f>
        <v>4127</v>
      </c>
      <c r="G13" s="48">
        <f>IF(F13=0,0,F13/'Summary Load Customers '!$H$22)</f>
        <v>1.2158726324069682E-2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4,127 of UI's customers, or 1.2%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69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37</v>
      </c>
      <c r="E18" s="57"/>
      <c r="F18" s="36" t="s">
        <v>44</v>
      </c>
      <c r="G18" s="38"/>
    </row>
    <row r="19" spans="1:9" ht="18" customHeight="1" x14ac:dyDescent="0.2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B19</f>
        <v>Customers</v>
      </c>
      <c r="G19" s="43" t="s">
        <v>30</v>
      </c>
    </row>
    <row r="20" spans="1:9" ht="18" customHeight="1" x14ac:dyDescent="0.2">
      <c r="A20" s="44" t="s">
        <v>71</v>
      </c>
      <c r="B20" s="47">
        <f>REC_programs_detail!B29</f>
        <v>732</v>
      </c>
      <c r="C20" s="48">
        <f>IF(B20=0,0,B20/'Summary Load Customers '!$B$22)</f>
        <v>2.4370917371936158E-3</v>
      </c>
      <c r="D20" s="47">
        <f>REC_programs_detail!C29</f>
        <v>62</v>
      </c>
      <c r="E20" s="48">
        <f>IF(D20=0,0,D20/('Summary Load Customers '!$D$22+'Summary Load Customers '!$F$22))</f>
        <v>1.5869359338606056E-3</v>
      </c>
      <c r="F20" s="47">
        <f>B20+D20</f>
        <v>794</v>
      </c>
      <c r="G20" s="48">
        <f>IF(F20=0,0,F20/'Summary Load Customers '!$H$22)</f>
        <v>2.3392364190238254E-3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0,794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73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37</v>
      </c>
      <c r="E25" s="57"/>
      <c r="F25" s="36" t="s">
        <v>44</v>
      </c>
      <c r="G25" s="38"/>
    </row>
    <row r="26" spans="1:9" ht="15" x14ac:dyDescent="0.2">
      <c r="A26" s="41"/>
      <c r="B26" s="42" t="s">
        <v>22</v>
      </c>
      <c r="C26" s="43" t="s">
        <v>31</v>
      </c>
      <c r="D26" s="42" t="str">
        <f>B26</f>
        <v>Customers</v>
      </c>
      <c r="E26" s="43" t="s">
        <v>31</v>
      </c>
      <c r="F26" s="42" t="str">
        <f>B26</f>
        <v>Customers</v>
      </c>
      <c r="G26" s="43" t="s">
        <v>30</v>
      </c>
    </row>
    <row r="27" spans="1:9" ht="14.25" x14ac:dyDescent="0.2">
      <c r="A27" s="44" t="s">
        <v>72</v>
      </c>
      <c r="B27" s="47">
        <f>B13+B20</f>
        <v>4817</v>
      </c>
      <c r="C27" s="48">
        <f>IF(B27=0,0,B27/'Summary Load Customers '!$B$22)</f>
        <v>1.6037528549264546E-2</v>
      </c>
      <c r="D27" s="47">
        <f>D13+D20</f>
        <v>104</v>
      </c>
      <c r="E27" s="48">
        <f>IF(D27=0,0,D27/('Summary Load Customers '!$D$22+'Summary Load Customers '!$F$22))</f>
        <v>2.6619570503468221E-3</v>
      </c>
      <c r="F27" s="47">
        <f>B27+D27</f>
        <v>4921</v>
      </c>
      <c r="G27" s="48">
        <f>IF(F27=0,0,F27/'Summary Load Customers '!$H$22)</f>
        <v>1.4497962743093508E-2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4,921 of UI's customers, or 1.4% are participating in the combined REC programs.</v>
      </c>
      <c r="G29" s="54"/>
      <c r="H29" s="32"/>
    </row>
    <row r="31" spans="1:9" ht="13.5" x14ac:dyDescent="0.2">
      <c r="A31" s="71" t="s">
        <v>43</v>
      </c>
    </row>
    <row r="32" spans="1:9" ht="13.5" x14ac:dyDescent="0.2">
      <c r="A32" s="71"/>
    </row>
    <row r="33" spans="1:1" ht="13.5" x14ac:dyDescent="0.2">
      <c r="A33" s="71" t="s">
        <v>99</v>
      </c>
    </row>
    <row r="34" spans="1:1" x14ac:dyDescent="0.2">
      <c r="A34" s="72" t="s">
        <v>95</v>
      </c>
    </row>
    <row r="36" spans="1:1" x14ac:dyDescent="0.2">
      <c r="A36" s="72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F27" sqref="F27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80"/>
      <c r="F1" s="80"/>
      <c r="G1" s="81"/>
    </row>
    <row r="2" spans="1:9" s="10" customFormat="1" ht="18" customHeight="1" x14ac:dyDescent="0.2">
      <c r="A2" s="123" t="s">
        <v>105</v>
      </c>
      <c r="B2" s="123"/>
      <c r="C2" s="123"/>
      <c r="D2" s="123"/>
      <c r="E2" s="28"/>
      <c r="F2" s="28"/>
      <c r="G2" s="29"/>
      <c r="H2" s="30"/>
      <c r="I2" s="30"/>
    </row>
    <row r="3" spans="1:9" s="82" customFormat="1" ht="15" customHeight="1" x14ac:dyDescent="0.2">
      <c r="A3" s="122" t="s">
        <v>61</v>
      </c>
      <c r="B3" s="122"/>
      <c r="C3" s="122"/>
      <c r="D3" s="122"/>
      <c r="E3" s="80"/>
      <c r="F3" s="80"/>
      <c r="G3" s="81"/>
    </row>
    <row r="4" spans="1:9" s="82" customFormat="1" ht="15" customHeight="1" x14ac:dyDescent="0.2">
      <c r="A4" s="122" t="s">
        <v>2</v>
      </c>
      <c r="B4" s="122"/>
      <c r="C4" s="122"/>
      <c r="D4" s="122"/>
      <c r="E4" s="80"/>
      <c r="F4" s="80"/>
      <c r="G4" s="81"/>
    </row>
    <row r="5" spans="1:9" s="82" customFormat="1" ht="15" customHeight="1" x14ac:dyDescent="0.2">
      <c r="A5" s="122" t="str">
        <f>'Summary Load Customers '!A6</f>
        <v>Data as of January 31, 2017</v>
      </c>
      <c r="B5" s="122"/>
      <c r="C5" s="122"/>
      <c r="D5" s="122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63</v>
      </c>
      <c r="B7" s="86" t="s">
        <v>5</v>
      </c>
      <c r="C7" s="85" t="s">
        <v>6</v>
      </c>
      <c r="D7" s="85" t="s">
        <v>44</v>
      </c>
      <c r="E7" s="87"/>
      <c r="F7" s="87"/>
      <c r="G7" s="88"/>
      <c r="H7" s="89"/>
    </row>
    <row r="8" spans="1:9" x14ac:dyDescent="0.2">
      <c r="A8" s="91" t="s">
        <v>62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26</v>
      </c>
      <c r="B9" s="93">
        <v>146</v>
      </c>
      <c r="C9" s="93">
        <v>2</v>
      </c>
      <c r="D9" s="94">
        <f>SUM(B9:C9)</f>
        <v>148</v>
      </c>
      <c r="E9" s="96"/>
      <c r="F9" s="96"/>
      <c r="G9" s="95"/>
      <c r="H9" s="84"/>
    </row>
    <row r="10" spans="1:9" x14ac:dyDescent="0.2">
      <c r="A10" s="91" t="s">
        <v>27</v>
      </c>
      <c r="B10" s="93">
        <v>3342</v>
      </c>
      <c r="C10" s="93">
        <v>38</v>
      </c>
      <c r="D10" s="94">
        <f>SUM(B10:C10)</f>
        <v>3380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3488</v>
      </c>
      <c r="C11" s="100">
        <f>IF(SUM(C8:C10)=0,0,SUM(C8:C10))</f>
        <v>40</v>
      </c>
      <c r="D11" s="100">
        <f>IF(SUM(D8:D10)=0,0,SUM(D8:D10))</f>
        <v>3528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66</v>
      </c>
      <c r="B13" s="85" t="s">
        <v>5</v>
      </c>
      <c r="C13" s="85" t="str">
        <f>C7</f>
        <v>Business</v>
      </c>
      <c r="D13" s="85" t="s">
        <v>44</v>
      </c>
      <c r="E13" s="103"/>
      <c r="F13" s="104"/>
      <c r="G13" s="102"/>
      <c r="H13" s="84"/>
    </row>
    <row r="14" spans="1:9" x14ac:dyDescent="0.2">
      <c r="A14" s="91" t="s">
        <v>62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26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27</v>
      </c>
      <c r="B16" s="93">
        <v>594</v>
      </c>
      <c r="C16" s="93">
        <v>2</v>
      </c>
      <c r="D16" s="94">
        <f>SUM(B16:C16)</f>
        <v>596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597</v>
      </c>
      <c r="C17" s="100">
        <f>IF(SUM(C14:C16)=0,0,SUM(C14:C16))</f>
        <v>2</v>
      </c>
      <c r="D17" s="100">
        <f>IF(SUM(D14:D16)=0,0,SUM(D14:D16))</f>
        <v>599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67</v>
      </c>
      <c r="B19" s="85" t="s">
        <v>5</v>
      </c>
      <c r="C19" s="85" t="str">
        <f>C7</f>
        <v>Business</v>
      </c>
      <c r="D19" s="85" t="s">
        <v>44</v>
      </c>
      <c r="E19" s="103"/>
      <c r="F19" s="104"/>
      <c r="G19" s="102"/>
      <c r="H19" s="84"/>
    </row>
    <row r="20" spans="1:8" x14ac:dyDescent="0.2">
      <c r="A20" s="91" t="s">
        <v>62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26</v>
      </c>
      <c r="B21" s="105">
        <f>IF(B9+B15=0,0,B9+B15)</f>
        <v>149</v>
      </c>
      <c r="C21" s="105">
        <f>IF(C9+C15=0,0,C9+C15)</f>
        <v>2</v>
      </c>
      <c r="D21" s="94">
        <f t="shared" si="0"/>
        <v>151</v>
      </c>
      <c r="E21" s="95"/>
      <c r="F21" s="102"/>
      <c r="G21" s="102"/>
      <c r="H21" s="84"/>
    </row>
    <row r="22" spans="1:8" x14ac:dyDescent="0.2">
      <c r="A22" s="91" t="s">
        <v>27</v>
      </c>
      <c r="B22" s="105">
        <f>IF(B10+B16=0,0,B10+B16)</f>
        <v>3936</v>
      </c>
      <c r="C22" s="105">
        <f>IF(C10+C16=0,0,C10+C16)</f>
        <v>40</v>
      </c>
      <c r="D22" s="94">
        <f>IF(D10+D16=0,0,D10+D16)</f>
        <v>3976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4085</v>
      </c>
      <c r="C23" s="100">
        <f>IF(SUM(C20:C22)=0,0,SUM(C20:C22))</f>
        <v>42</v>
      </c>
      <c r="D23" s="100">
        <f>SUM(D20:D22)</f>
        <v>4127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64</v>
      </c>
      <c r="B25" s="85" t="s">
        <v>5</v>
      </c>
      <c r="C25" s="85" t="s">
        <v>6</v>
      </c>
      <c r="D25" s="85" t="s">
        <v>44</v>
      </c>
    </row>
    <row r="26" spans="1:8" x14ac:dyDescent="0.2">
      <c r="A26" s="91" t="s">
        <v>62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26</v>
      </c>
      <c r="B27" s="93">
        <v>204</v>
      </c>
      <c r="C27" s="93">
        <v>11</v>
      </c>
      <c r="D27" s="94">
        <f>SUM(B27:C27)</f>
        <v>215</v>
      </c>
    </row>
    <row r="28" spans="1:8" x14ac:dyDescent="0.2">
      <c r="A28" s="91" t="s">
        <v>27</v>
      </c>
      <c r="B28" s="93">
        <v>528</v>
      </c>
      <c r="C28" s="93">
        <v>51</v>
      </c>
      <c r="D28" s="94">
        <f>SUM(B28:C28)</f>
        <v>579</v>
      </c>
    </row>
    <row r="29" spans="1:8" x14ac:dyDescent="0.2">
      <c r="A29" s="99" t="str">
        <f>A23</f>
        <v>Total</v>
      </c>
      <c r="B29" s="100">
        <f>IF(B27+B28=0,0,B27+B28)</f>
        <v>732</v>
      </c>
      <c r="C29" s="100">
        <f>IF(SUM(C26:C28)=0,0,SUM(C26:C28))</f>
        <v>62</v>
      </c>
      <c r="D29" s="100">
        <f>IF(SUM(D26:D28)=0,0,SUM(D26:D28))</f>
        <v>794</v>
      </c>
    </row>
    <row r="31" spans="1:8" x14ac:dyDescent="0.2">
      <c r="A31" s="85" t="s">
        <v>65</v>
      </c>
      <c r="B31" s="85" t="s">
        <v>5</v>
      </c>
      <c r="C31" s="85" t="str">
        <f>C19</f>
        <v>Business</v>
      </c>
      <c r="D31" s="85" t="s">
        <v>44</v>
      </c>
    </row>
    <row r="32" spans="1:8" x14ac:dyDescent="0.2">
      <c r="A32" s="91" t="s">
        <v>62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26</v>
      </c>
      <c r="B33" s="105">
        <f>B21+B27</f>
        <v>353</v>
      </c>
      <c r="C33" s="105">
        <f t="shared" si="1"/>
        <v>13</v>
      </c>
      <c r="D33" s="94">
        <f t="shared" si="1"/>
        <v>366</v>
      </c>
      <c r="E33" s="84"/>
      <c r="F33" s="84"/>
      <c r="G33" s="84"/>
    </row>
    <row r="34" spans="1:7" x14ac:dyDescent="0.2">
      <c r="A34" s="91" t="s">
        <v>27</v>
      </c>
      <c r="B34" s="105">
        <f>B22+B28</f>
        <v>4464</v>
      </c>
      <c r="C34" s="105">
        <f t="shared" si="1"/>
        <v>91</v>
      </c>
      <c r="D34" s="94">
        <f t="shared" si="1"/>
        <v>4555</v>
      </c>
    </row>
    <row r="35" spans="1:7" x14ac:dyDescent="0.2">
      <c r="A35" s="99" t="str">
        <f>A29</f>
        <v>Total</v>
      </c>
      <c r="B35" s="100">
        <f>IF(B33+B34=0,0,B33+B34)</f>
        <v>4817</v>
      </c>
      <c r="C35" s="100">
        <f>IF(SUM(C32:C34)=0,0,SUM(C32:C34))</f>
        <v>104</v>
      </c>
      <c r="D35" s="100">
        <f>SUM(D32:D34)</f>
        <v>4921</v>
      </c>
    </row>
    <row r="37" spans="1:7" x14ac:dyDescent="0.2">
      <c r="A37" s="106" t="str">
        <f>"In summary, "&amp;TEXT($D$23,"0,000")&amp; " of UI's customers are participating in the CTCleanEnergyOptions Program"</f>
        <v>In summary, 4,127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794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4,921 of UI's customers are participating in all REC programs</v>
      </c>
    </row>
    <row r="41" spans="1:7" x14ac:dyDescent="0.2">
      <c r="A41" s="107" t="s">
        <v>32</v>
      </c>
    </row>
    <row r="42" spans="1:7" x14ac:dyDescent="0.2">
      <c r="A42" s="84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Cheryls</cp:lastModifiedBy>
  <cp:lastPrinted>2017-02-17T16:26:50Z</cp:lastPrinted>
  <dcterms:created xsi:type="dcterms:W3CDTF">2009-03-17T13:14:28Z</dcterms:created>
  <dcterms:modified xsi:type="dcterms:W3CDTF">2017-03-17T17:15:02Z</dcterms:modified>
</cp:coreProperties>
</file>