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-12" yWindow="4536" windowWidth="20184" windowHeight="4584" tabRatio="838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  <externalReference r:id="rId6"/>
  </externalReference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45621"/>
</workbook>
</file>

<file path=xl/calcChain.xml><?xml version="1.0" encoding="utf-8"?>
<calcChain xmlns="http://schemas.openxmlformats.org/spreadsheetml/2006/main">
  <c r="C11" i="5" l="1"/>
  <c r="F12" i="7" l="1"/>
  <c r="D12" i="7"/>
  <c r="B12" i="7"/>
  <c r="F11" i="7"/>
  <c r="D11" i="7"/>
  <c r="B11" i="7"/>
  <c r="D21" i="7"/>
  <c r="B21" i="7"/>
  <c r="B20" i="7"/>
  <c r="A5" i="6"/>
  <c r="E6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9" i="6"/>
  <c r="C69" i="6"/>
  <c r="D69" i="6"/>
  <c r="F14" i="6" l="1"/>
  <c r="F20" i="6"/>
  <c r="F29" i="6"/>
  <c r="F32" i="6"/>
  <c r="F35" i="6"/>
  <c r="F36" i="6"/>
  <c r="F37" i="6"/>
  <c r="F40" i="6"/>
  <c r="F41" i="6"/>
  <c r="F43" i="6"/>
  <c r="F51" i="6"/>
  <c r="F54" i="6"/>
  <c r="F56" i="6"/>
  <c r="F57" i="6"/>
  <c r="F65" i="6"/>
  <c r="F11" i="6" l="1"/>
  <c r="F15" i="6"/>
  <c r="F19" i="6"/>
  <c r="F23" i="6"/>
  <c r="F27" i="6"/>
  <c r="F31" i="6"/>
  <c r="F39" i="6"/>
  <c r="F47" i="6"/>
  <c r="F55" i="6"/>
  <c r="F59" i="6"/>
  <c r="F63" i="6"/>
  <c r="F67" i="6"/>
  <c r="F12" i="6"/>
  <c r="F16" i="6"/>
  <c r="F24" i="6"/>
  <c r="F28" i="6"/>
  <c r="F44" i="6"/>
  <c r="F48" i="6"/>
  <c r="F52" i="6"/>
  <c r="F60" i="6"/>
  <c r="F64" i="6"/>
  <c r="F68" i="6"/>
  <c r="F13" i="6"/>
  <c r="F17" i="6"/>
  <c r="F21" i="6"/>
  <c r="F25" i="6"/>
  <c r="F33" i="6"/>
  <c r="F45" i="6"/>
  <c r="F49" i="6"/>
  <c r="F53" i="6"/>
  <c r="F61" i="6"/>
  <c r="F10" i="6"/>
  <c r="F18" i="6"/>
  <c r="F22" i="6"/>
  <c r="F26" i="6"/>
  <c r="F30" i="6"/>
  <c r="F34" i="6"/>
  <c r="F38" i="6"/>
  <c r="F42" i="6"/>
  <c r="F46" i="6"/>
  <c r="F50" i="6"/>
  <c r="F58" i="6"/>
  <c r="F62" i="6"/>
  <c r="F66" i="6"/>
  <c r="B21" i="5"/>
  <c r="B33" i="5" s="1"/>
  <c r="C21" i="5"/>
  <c r="C33" i="5" s="1"/>
  <c r="C22" i="5"/>
  <c r="C34" i="5" s="1"/>
  <c r="B22" i="5"/>
  <c r="B34" i="5" s="1"/>
  <c r="F9" i="6" l="1"/>
  <c r="F69" i="6"/>
  <c r="F13" i="7" l="1"/>
  <c r="A5" i="5" l="1"/>
  <c r="H12" i="7" l="1"/>
  <c r="A6" i="8" l="1"/>
  <c r="B29" i="5"/>
  <c r="B20" i="8" s="1"/>
  <c r="F26" i="8"/>
  <c r="F19" i="8"/>
  <c r="F12" i="8"/>
  <c r="D8" i="5"/>
  <c r="D14" i="5"/>
  <c r="C20" i="5"/>
  <c r="C32" i="5" s="1"/>
  <c r="D9" i="5"/>
  <c r="D15" i="5"/>
  <c r="D27" i="5"/>
  <c r="D10" i="5"/>
  <c r="D16" i="5"/>
  <c r="D28" i="5"/>
  <c r="B22" i="7"/>
  <c r="D26" i="8"/>
  <c r="D19" i="8"/>
  <c r="D12" i="8"/>
  <c r="A23" i="5"/>
  <c r="A29" i="5" s="1"/>
  <c r="A35" i="5" s="1"/>
  <c r="C19" i="5"/>
  <c r="C31" i="5"/>
  <c r="H11" i="7"/>
  <c r="A1" i="6"/>
  <c r="A1" i="5"/>
  <c r="C17" i="5"/>
  <c r="B11" i="5"/>
  <c r="B17" i="5"/>
  <c r="A22" i="7"/>
  <c r="A21" i="7"/>
  <c r="D10" i="7"/>
  <c r="F10" i="7"/>
  <c r="H10" i="7" s="1"/>
  <c r="B13" i="7"/>
  <c r="C11" i="7" s="1"/>
  <c r="D13" i="7"/>
  <c r="E12" i="7" s="1"/>
  <c r="G12" i="7"/>
  <c r="D19" i="7"/>
  <c r="F19" i="7" s="1"/>
  <c r="H19" i="7" s="1"/>
  <c r="A20" i="7"/>
  <c r="A17" i="5"/>
  <c r="C13" i="5"/>
  <c r="C26" i="5"/>
  <c r="D26" i="5"/>
  <c r="C29" i="5"/>
  <c r="D20" i="8" s="1"/>
  <c r="C20" i="7" l="1"/>
  <c r="C21" i="7"/>
  <c r="D22" i="5"/>
  <c r="D34" i="5" s="1"/>
  <c r="D21" i="5"/>
  <c r="D33" i="5" s="1"/>
  <c r="F20" i="8"/>
  <c r="C12" i="7"/>
  <c r="D29" i="5"/>
  <c r="A38" i="5" s="1"/>
  <c r="G11" i="7"/>
  <c r="H13" i="7"/>
  <c r="I11" i="7" s="1"/>
  <c r="A14" i="7" s="1"/>
  <c r="D17" i="5"/>
  <c r="C35" i="5"/>
  <c r="D11" i="5"/>
  <c r="B23" i="5"/>
  <c r="B13" i="8" s="1"/>
  <c r="C13" i="8" s="1"/>
  <c r="B35" i="5"/>
  <c r="C20" i="8"/>
  <c r="D32" i="5"/>
  <c r="E11" i="7"/>
  <c r="C23" i="5"/>
  <c r="D13" i="8" s="1"/>
  <c r="F13" i="8" l="1"/>
  <c r="B27" i="8"/>
  <c r="C27" i="8" s="1"/>
  <c r="I12" i="7"/>
  <c r="A15" i="7" s="1"/>
  <c r="D35" i="5"/>
  <c r="A39" i="5" s="1"/>
  <c r="D23" i="5"/>
  <c r="A37" i="5" s="1"/>
  <c r="D27" i="8"/>
  <c r="F27" i="8" l="1"/>
  <c r="F21" i="7" l="1"/>
  <c r="H21" i="7" s="1"/>
  <c r="F20" i="7" l="1"/>
  <c r="F22" i="7" l="1"/>
  <c r="G21" i="7" s="1"/>
  <c r="G20" i="7"/>
  <c r="D20" i="7" l="1"/>
  <c r="H20" i="7" l="1"/>
  <c r="D22" i="7"/>
  <c r="E21" i="7" l="1"/>
  <c r="E20" i="8"/>
  <c r="E13" i="8"/>
  <c r="E27" i="8"/>
  <c r="H22" i="7"/>
  <c r="I20" i="7" s="1"/>
  <c r="A24" i="7" s="1"/>
  <c r="E20" i="7"/>
  <c r="I21" i="7" l="1"/>
  <c r="A25" i="7" s="1"/>
  <c r="G20" i="8"/>
  <c r="A22" i="8" s="1"/>
  <c r="G13" i="8"/>
  <c r="A15" i="8" s="1"/>
  <c r="G27" i="8"/>
  <c r="A29" i="8" s="1"/>
</calcChain>
</file>

<file path=xl/sharedStrings.xml><?xml version="1.0" encoding="utf-8"?>
<sst xmlns="http://schemas.openxmlformats.org/spreadsheetml/2006/main" count="182" uniqueCount="117">
  <si>
    <t>The United Illuminating Company</t>
  </si>
  <si>
    <t>Electric Suppliers - MWh Load &amp; Customer Count Data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</si>
  <si>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</si>
  <si>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</si>
  <si>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</si>
  <si>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</si>
  <si>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</si>
  <si>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</si>
  <si>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</si>
  <si>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</si>
  <si>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Clearview Electric, Inc.</t>
  </si>
  <si>
    <t>MWh</t>
  </si>
  <si>
    <t>Consolidated Edison Solutions</t>
  </si>
  <si>
    <t>Suppliers</t>
  </si>
  <si>
    <t>Constellation New Energy, Inc.</t>
  </si>
  <si>
    <t>UI</t>
  </si>
  <si>
    <t xml:space="preserve">     Total</t>
  </si>
  <si>
    <t>Glacial Energy of New England, Inc.</t>
  </si>
  <si>
    <t>Hess Corporation</t>
  </si>
  <si>
    <t>Integrys Energy Services, Inc.</t>
  </si>
  <si>
    <t>Liberty Power Delaware, LLC</t>
  </si>
  <si>
    <t>Liberty Power Holdings, LLC</t>
  </si>
  <si>
    <t>Customers</t>
  </si>
  <si>
    <t>Public Power &amp; Utility, Inc.</t>
  </si>
  <si>
    <t>TransCanada</t>
  </si>
  <si>
    <t>Total All Suppliers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</si>
  <si>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</si>
  <si>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</si>
  <si>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</si>
  <si>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</si>
  <si>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</si>
  <si>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</si>
  <si>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</si>
  <si>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</si>
  <si>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</si>
  <si>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</si>
  <si>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</si>
  <si>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</si>
  <si>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</si>
  <si>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</si>
  <si>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</si>
  <si>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</si>
  <si>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</si>
  <si>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</si>
  <si>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</si>
  <si>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Energy Plus</t>
  </si>
  <si>
    <t>Viridian Energy</t>
  </si>
  <si>
    <t>Verde Energy</t>
  </si>
  <si>
    <t>ResCom Energy</t>
  </si>
  <si>
    <t>Discount Power</t>
  </si>
  <si>
    <t>North American Power</t>
  </si>
  <si>
    <t>Starion Energy</t>
  </si>
  <si>
    <t>Cianbro</t>
  </si>
  <si>
    <t>Choice Energy</t>
  </si>
  <si>
    <t>South Jersey Energy Company</t>
  </si>
  <si>
    <t>Reliable Power</t>
  </si>
  <si>
    <t>Summary Data</t>
  </si>
  <si>
    <t>Spark Energy</t>
  </si>
  <si>
    <t>Palmco Power</t>
  </si>
  <si>
    <t>HOP Energy</t>
  </si>
  <si>
    <t>Gulf Oil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</si>
  <si>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</si>
  <si>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</si>
  <si>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</si>
  <si>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</si>
  <si>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</si>
  <si>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</si>
  <si>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</si>
  <si>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</si>
  <si>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</si>
  <si>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</si>
  <si>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</si>
  <si>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</si>
  <si>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</si>
  <si>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</si>
  <si>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</si>
  <si>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t>Independence Energy</t>
  </si>
  <si>
    <t>Mint Energy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</si>
  <si>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</si>
  <si>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Xoom Energy</t>
  </si>
  <si>
    <t>Trupro Energy</t>
  </si>
  <si>
    <t>CT Gas &amp; Electric</t>
  </si>
  <si>
    <t>Ambit Energy</t>
  </si>
  <si>
    <t>Texas Retail</t>
  </si>
  <si>
    <t>Constellation (F/K/A MX Energy)</t>
  </si>
  <si>
    <t>Perigee Energy</t>
  </si>
  <si>
    <t>Reliant Energy</t>
  </si>
  <si>
    <t>Aequitas Energy</t>
  </si>
  <si>
    <t>Abest Power</t>
  </si>
  <si>
    <t>Hiko Energy</t>
  </si>
  <si>
    <t>Dominion Energy Solutions</t>
  </si>
  <si>
    <t>Nextera (F/K/A Gexa Energy Connecticut, LLC)</t>
  </si>
  <si>
    <t>Blue Pilot Energy</t>
  </si>
  <si>
    <t>Mega Energy</t>
  </si>
  <si>
    <t>Peoples Power &amp; Gas</t>
  </si>
  <si>
    <t xml:space="preserve">   customers support clean energy through a surcharge on their bill.</t>
  </si>
  <si>
    <t>Direct Energy Business</t>
  </si>
  <si>
    <t>Direct Energy Service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</si>
  <si>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</si>
  <si>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</si>
  <si>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Hess Energy</t>
  </si>
  <si>
    <t>Sunwave Gas &amp; Power CT</t>
  </si>
  <si>
    <t>BlueRock Energy, Inc.</t>
  </si>
  <si>
    <t>Think Energy</t>
  </si>
  <si>
    <t>Attachment 1</t>
  </si>
  <si>
    <t>Agera Energy, LLC</t>
  </si>
  <si>
    <t>BP Energy Company</t>
  </si>
  <si>
    <t>America Wide Energy, LLC</t>
  </si>
  <si>
    <t>Engie Energy Resources Inc. (F/K/A Suez Energy Resources NA)</t>
  </si>
  <si>
    <t>Champion Energy Marketing LLC</t>
  </si>
  <si>
    <t>Ethical Electric Inc.</t>
  </si>
  <si>
    <t>Exelon Generation Company LLC</t>
  </si>
  <si>
    <t>Major Energy Electric Services LLC</t>
  </si>
  <si>
    <t>Calpine Energy Solutions, LLC  ((F/K/A Noble)</t>
  </si>
  <si>
    <t>Everyday Energy, LLC</t>
  </si>
  <si>
    <t>Town Square Energy (F/K/A Community Power)</t>
  </si>
  <si>
    <t>Data as of March 31,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</si>
</sst>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7">
    <xf numFmtId="0" fontId="0" fillId="0" borderId="0"/>
    <xf numFmtId="0" fontId="17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121">
    <xf numFmtId="0" fontId="0" fillId="0" borderId="0" xfId="0"/>
    <xf numFmtId="0" fontId="0" fillId="0" borderId="0" xfId="0" applyFill="1" applyProtection="1"/>
    <xf numFmtId="0" fontId="8" fillId="0" borderId="0" xfId="0" applyFont="1" applyFill="1" applyBorder="1" applyProtection="1"/>
    <xf numFmtId="0" fontId="0" fillId="2" borderId="0" xfId="0" applyFill="1" applyProtection="1"/>
    <xf numFmtId="0" fontId="9" fillId="0" borderId="1" xfId="0" applyFont="1" applyBorder="1" applyAlignment="1" applyProtection="1">
      <alignment horizontal="centerContinuous" vertical="center"/>
    </xf>
    <xf numFmtId="0" fontId="9" fillId="0" borderId="2" xfId="0" applyFont="1" applyFill="1" applyBorder="1" applyAlignment="1" applyProtection="1">
      <alignment horizontal="center" vertical="center" wrapText="1"/>
    </xf>
    <xf numFmtId="0" fontId="10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9" fillId="0" borderId="0" xfId="0" applyFont="1" applyAlignment="1" applyProtection="1">
      <alignment horizontal="centerContinuous" vertical="center"/>
    </xf>
    <xf numFmtId="0" fontId="0" fillId="0" borderId="0" xfId="0" applyFill="1" applyBorder="1" applyProtection="1"/>
    <xf numFmtId="164" fontId="9" fillId="0" borderId="0" xfId="0" applyNumberFormat="1" applyFont="1" applyFill="1" applyBorder="1" applyAlignment="1" applyProtection="1">
      <alignment horizontal="center"/>
    </xf>
    <xf numFmtId="0" fontId="9" fillId="0" borderId="4" xfId="0" applyFont="1" applyBorder="1" applyAlignment="1" applyProtection="1">
      <alignment horizontal="centerContinuous" vertical="center"/>
    </xf>
    <xf numFmtId="0" fontId="4" fillId="0" borderId="0" xfId="0" applyFont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0" fontId="10" fillId="0" borderId="0" xfId="0" applyFont="1" applyFill="1" applyBorder="1" applyAlignment="1" applyProtection="1">
      <alignment horizontal="centerContinuous" vertical="center"/>
    </xf>
    <xf numFmtId="3" fontId="10" fillId="0" borderId="0" xfId="0" applyNumberFormat="1" applyFont="1" applyFill="1" applyBorder="1" applyAlignment="1" applyProtection="1">
      <alignment horizontal="center"/>
    </xf>
    <xf numFmtId="0" fontId="10" fillId="0" borderId="0" xfId="0" applyFont="1" applyFill="1" applyBorder="1" applyProtection="1"/>
    <xf numFmtId="3" fontId="10" fillId="0" borderId="2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 applyProtection="1">
      <alignment horizontal="centerContinuous" vertical="center"/>
    </xf>
    <xf numFmtId="3" fontId="10" fillId="0" borderId="2" xfId="0" applyNumberFormat="1" applyFont="1" applyFill="1" applyBorder="1" applyAlignment="1" applyProtection="1">
      <alignment horizontal="center"/>
    </xf>
    <xf numFmtId="164" fontId="10" fillId="0" borderId="2" xfId="2" applyNumberFormat="1" applyFont="1" applyFill="1" applyBorder="1" applyAlignment="1" applyProtection="1">
      <alignment horizontal="center"/>
    </xf>
    <xf numFmtId="0" fontId="9" fillId="2" borderId="0" xfId="0" applyFont="1" applyFill="1" applyAlignment="1" applyProtection="1">
      <alignment horizontal="centerContinuous" vertical="center"/>
      <protection locked="0"/>
    </xf>
    <xf numFmtId="0" fontId="3" fillId="2" borderId="0" xfId="0" applyFont="1" applyFill="1" applyAlignment="1" applyProtection="1">
      <alignment horizontal="centerContinuous" vertical="center"/>
    </xf>
    <xf numFmtId="0" fontId="3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9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4" fillId="2" borderId="0" xfId="0" applyFont="1" applyFill="1" applyBorder="1" applyAlignment="1" applyProtection="1">
      <alignment horizontal="centerContinuous" vertical="center" wrapText="1"/>
    </xf>
    <xf numFmtId="0" fontId="5" fillId="2" borderId="0" xfId="0" applyFont="1" applyFill="1" applyBorder="1" applyAlignment="1" applyProtection="1">
      <alignment horizontal="centerContinuous" vertical="center"/>
    </xf>
    <xf numFmtId="0" fontId="6" fillId="2" borderId="0" xfId="0" applyFont="1" applyFill="1" applyBorder="1" applyAlignment="1" applyProtection="1">
      <alignment horizontal="centerContinuous" vertical="center" wrapText="1"/>
    </xf>
    <xf numFmtId="0" fontId="4" fillId="2" borderId="6" xfId="0" applyFont="1" applyFill="1" applyBorder="1" applyAlignment="1" applyProtection="1">
      <alignment horizontal="centerContinuous" vertical="center"/>
    </xf>
    <xf numFmtId="0" fontId="4" fillId="2" borderId="7" xfId="0" applyFont="1" applyFill="1" applyBorder="1" applyAlignment="1" applyProtection="1">
      <alignment horizontal="centerContinuous" vertical="center"/>
    </xf>
    <xf numFmtId="0" fontId="0" fillId="2" borderId="7" xfId="0" applyFill="1" applyBorder="1" applyAlignment="1" applyProtection="1">
      <alignment horizontal="centerContinuous" vertical="center"/>
    </xf>
    <xf numFmtId="9" fontId="4" fillId="2" borderId="7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Protection="1"/>
    <xf numFmtId="164" fontId="5" fillId="2" borderId="9" xfId="2" applyNumberFormat="1" applyFont="1" applyFill="1" applyBorder="1" applyAlignment="1" applyProtection="1">
      <alignment horizontal="center"/>
    </xf>
    <xf numFmtId="3" fontId="5" fillId="2" borderId="8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center"/>
    </xf>
    <xf numFmtId="164" fontId="5" fillId="2" borderId="11" xfId="2" applyNumberFormat="1" applyFont="1" applyFill="1" applyBorder="1" applyAlignment="1" applyProtection="1">
      <alignment horizontal="center"/>
    </xf>
    <xf numFmtId="0" fontId="5" fillId="2" borderId="11" xfId="0" applyFont="1" applyFill="1" applyBorder="1" applyProtection="1"/>
    <xf numFmtId="0" fontId="13" fillId="2" borderId="0" xfId="0" applyFont="1" applyFill="1" applyProtection="1"/>
    <xf numFmtId="3" fontId="4" fillId="2" borderId="0" xfId="0" applyNumberFormat="1" applyFont="1" applyFill="1" applyBorder="1" applyAlignment="1" applyProtection="1">
      <alignment horizontal="center"/>
    </xf>
    <xf numFmtId="164" fontId="5" fillId="2" borderId="0" xfId="2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9" fontId="4" fillId="2" borderId="0" xfId="0" applyNumberFormat="1" applyFont="1" applyFill="1" applyBorder="1" applyAlignment="1" applyProtection="1">
      <alignment horizontal="center"/>
    </xf>
    <xf numFmtId="164" fontId="4" fillId="2" borderId="0" xfId="0" applyNumberFormat="1" applyFont="1" applyFill="1" applyBorder="1" applyAlignment="1" applyProtection="1">
      <alignment horizontal="centerContinuous" vertical="center"/>
    </xf>
    <xf numFmtId="0" fontId="4" fillId="2" borderId="7" xfId="0" applyFont="1" applyFill="1" applyBorder="1" applyAlignment="1" applyProtection="1">
      <alignment horizontal="centerContinuous"/>
    </xf>
    <xf numFmtId="0" fontId="0" fillId="2" borderId="7" xfId="0" applyFill="1" applyBorder="1" applyAlignment="1" applyProtection="1">
      <alignment horizontal="centerContinuous"/>
    </xf>
    <xf numFmtId="9" fontId="5" fillId="2" borderId="9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5" fillId="2" borderId="11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right"/>
    </xf>
    <xf numFmtId="164" fontId="4" fillId="2" borderId="0" xfId="0" applyNumberFormat="1" applyFont="1" applyFill="1" applyBorder="1" applyAlignment="1" applyProtection="1">
      <alignment horizontal="right"/>
    </xf>
    <xf numFmtId="164" fontId="4" fillId="2" borderId="0" xfId="0" applyNumberFormat="1" applyFont="1" applyFill="1" applyBorder="1" applyAlignment="1" applyProtection="1">
      <alignment horizontal="center"/>
    </xf>
    <xf numFmtId="164" fontId="9" fillId="2" borderId="0" xfId="0" applyNumberFormat="1" applyFont="1" applyFill="1" applyBorder="1" applyAlignment="1" applyProtection="1">
      <alignment horizontal="center"/>
    </xf>
    <xf numFmtId="0" fontId="3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4" fillId="2" borderId="0" xfId="0" applyNumberFormat="1" applyFont="1" applyFill="1" applyBorder="1" applyAlignment="1" applyProtection="1">
      <alignment horizontal="centerContinuous"/>
    </xf>
    <xf numFmtId="164" fontId="9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6" fillId="2" borderId="0" xfId="0" applyNumberFormat="1" applyFont="1" applyFill="1" applyBorder="1" applyAlignment="1" applyProtection="1">
      <alignment horizontal="center"/>
    </xf>
    <xf numFmtId="0" fontId="15" fillId="2" borderId="0" xfId="0" applyFont="1" applyFill="1" applyBorder="1" applyProtection="1"/>
    <xf numFmtId="0" fontId="8" fillId="2" borderId="0" xfId="0" applyFont="1" applyFill="1" applyBorder="1" applyProtection="1"/>
    <xf numFmtId="3" fontId="5" fillId="0" borderId="8" xfId="0" applyNumberFormat="1" applyFont="1" applyFill="1" applyBorder="1" applyAlignment="1" applyProtection="1">
      <alignment horizontal="center"/>
      <protection locked="0"/>
    </xf>
    <xf numFmtId="3" fontId="7" fillId="0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0" fontId="12" fillId="2" borderId="0" xfId="0" applyFont="1" applyFill="1" applyBorder="1" applyAlignment="1" applyProtection="1">
      <alignment horizontal="centerContinuous" vertical="center"/>
    </xf>
    <xf numFmtId="0" fontId="18" fillId="2" borderId="0" xfId="0" applyFont="1" applyFill="1" applyBorder="1" applyAlignment="1" applyProtection="1">
      <alignment vertical="center"/>
    </xf>
    <xf numFmtId="0" fontId="18" fillId="2" borderId="0" xfId="0" applyFont="1" applyFill="1" applyAlignment="1" applyProtection="1">
      <alignment vertical="center"/>
    </xf>
    <xf numFmtId="0" fontId="18" fillId="2" borderId="0" xfId="0" applyFont="1" applyFill="1" applyProtection="1"/>
    <xf numFmtId="0" fontId="18" fillId="2" borderId="0" xfId="0" applyFont="1" applyFill="1" applyBorder="1" applyProtection="1"/>
    <xf numFmtId="0" fontId="12" fillId="2" borderId="2" xfId="0" applyFont="1" applyFill="1" applyBorder="1" applyAlignment="1" applyProtection="1">
      <alignment horizontal="center" vertical="center" wrapText="1"/>
    </xf>
    <xf numFmtId="0" fontId="12" fillId="0" borderId="6" xfId="0" applyFont="1" applyBorder="1" applyAlignment="1" applyProtection="1">
      <alignment horizontal="centerContinuous" vertical="center"/>
    </xf>
    <xf numFmtId="0" fontId="18" fillId="2" borderId="0" xfId="0" applyFont="1" applyFill="1" applyBorder="1" applyAlignment="1" applyProtection="1">
      <alignment horizontal="centerContinuous" vertical="center" wrapText="1"/>
    </xf>
    <xf numFmtId="0" fontId="12" fillId="2" borderId="0" xfId="0" applyFont="1" applyFill="1" applyBorder="1" applyAlignment="1" applyProtection="1">
      <alignment horizontal="center" wrapText="1"/>
    </xf>
    <xf numFmtId="0" fontId="18" fillId="2" borderId="0" xfId="0" applyFont="1" applyFill="1" applyBorder="1" applyAlignment="1" applyProtection="1">
      <alignment wrapText="1"/>
    </xf>
    <xf numFmtId="0" fontId="18" fillId="2" borderId="0" xfId="0" applyFont="1" applyFill="1" applyAlignment="1" applyProtection="1">
      <alignment wrapText="1"/>
    </xf>
    <xf numFmtId="0" fontId="18" fillId="2" borderId="2" xfId="0" applyFont="1" applyFill="1" applyBorder="1" applyProtection="1"/>
    <xf numFmtId="3" fontId="18" fillId="0" borderId="2" xfId="0" applyNumberFormat="1" applyFont="1" applyFill="1" applyBorder="1" applyAlignment="1" applyProtection="1">
      <alignment horizontal="center"/>
    </xf>
    <xf numFmtId="3" fontId="18" fillId="0" borderId="2" xfId="0" applyNumberFormat="1" applyFont="1" applyFill="1" applyBorder="1" applyAlignment="1" applyProtection="1">
      <alignment horizontal="center"/>
      <protection locked="0"/>
    </xf>
    <xf numFmtId="3" fontId="18" fillId="2" borderId="2" xfId="0" applyNumberFormat="1" applyFont="1" applyFill="1" applyBorder="1" applyAlignment="1" applyProtection="1">
      <alignment horizontal="center"/>
    </xf>
    <xf numFmtId="9" fontId="12" fillId="2" borderId="0" xfId="0" applyNumberFormat="1" applyFont="1" applyFill="1" applyBorder="1" applyAlignment="1" applyProtection="1">
      <alignment horizontal="center"/>
    </xf>
    <xf numFmtId="0" fontId="19" fillId="2" borderId="0" xfId="0" applyFont="1" applyFill="1" applyBorder="1" applyAlignment="1" applyProtection="1">
      <alignment horizontal="center" vertical="center" wrapText="1"/>
    </xf>
    <xf numFmtId="3" fontId="18" fillId="2" borderId="0" xfId="0" applyNumberFormat="1" applyFont="1" applyFill="1" applyBorder="1" applyAlignment="1" applyProtection="1">
      <alignment horizontal="right"/>
    </xf>
    <xf numFmtId="164" fontId="18" fillId="2" borderId="0" xfId="0" applyNumberFormat="1" applyFont="1" applyFill="1" applyBorder="1" applyAlignment="1" applyProtection="1">
      <alignment horizontal="right"/>
    </xf>
    <xf numFmtId="0" fontId="12" fillId="2" borderId="2" xfId="0" applyFont="1" applyFill="1" applyBorder="1" applyAlignment="1" applyProtection="1">
      <alignment horizontal="center"/>
    </xf>
    <xf numFmtId="3" fontId="12" fillId="2" borderId="2" xfId="0" applyNumberFormat="1" applyFont="1" applyFill="1" applyBorder="1" applyAlignment="1" applyProtection="1">
      <alignment horizontal="center"/>
    </xf>
    <xf numFmtId="3" fontId="18" fillId="2" borderId="0" xfId="0" applyNumberFormat="1" applyFont="1" applyFill="1" applyBorder="1" applyAlignment="1" applyProtection="1">
      <alignment horizontal="center"/>
    </xf>
    <xf numFmtId="164" fontId="12" fillId="2" borderId="0" xfId="0" applyNumberFormat="1" applyFont="1" applyFill="1" applyBorder="1" applyAlignment="1" applyProtection="1">
      <alignment horizontal="center"/>
    </xf>
    <xf numFmtId="3" fontId="12" fillId="2" borderId="0" xfId="0" applyNumberFormat="1" applyFont="1" applyFill="1" applyBorder="1" applyAlignment="1" applyProtection="1">
      <alignment horizontal="right"/>
    </xf>
    <xf numFmtId="164" fontId="12" fillId="2" borderId="0" xfId="0" applyNumberFormat="1" applyFont="1" applyFill="1" applyBorder="1" applyAlignment="1" applyProtection="1">
      <alignment horizontal="right"/>
    </xf>
    <xf numFmtId="3" fontId="18" fillId="2" borderId="2" xfId="0" applyNumberFormat="1" applyFont="1" applyFill="1" applyBorder="1" applyAlignment="1" applyProtection="1">
      <alignment horizontal="center"/>
      <protection locked="0"/>
    </xf>
    <xf numFmtId="0" fontId="18" fillId="0" borderId="0" xfId="0" applyFont="1" applyFill="1" applyProtection="1"/>
    <xf numFmtId="0" fontId="18" fillId="0" borderId="0" xfId="0" applyFont="1" applyFill="1" applyBorder="1" applyProtection="1"/>
    <xf numFmtId="0" fontId="20" fillId="2" borderId="0" xfId="0" applyFont="1" applyFill="1" applyProtection="1"/>
    <xf numFmtId="0" fontId="2" fillId="2" borderId="0" xfId="0" applyFont="1" applyFill="1" applyProtection="1"/>
    <xf numFmtId="0" fontId="9" fillId="2" borderId="0" xfId="0" applyFont="1" applyFill="1" applyProtection="1"/>
    <xf numFmtId="3" fontId="7" fillId="2" borderId="8" xfId="0" applyNumberFormat="1" applyFont="1" applyFill="1" applyBorder="1" applyAlignment="1" applyProtection="1">
      <alignment horizontal="center"/>
    </xf>
    <xf numFmtId="14" fontId="11" fillId="0" borderId="0" xfId="0" applyNumberFormat="1" applyFont="1" applyFill="1" applyProtection="1"/>
    <xf numFmtId="0" fontId="9" fillId="0" borderId="0" xfId="0" applyFont="1" applyFill="1" applyProtection="1"/>
    <xf numFmtId="3" fontId="2" fillId="0" borderId="2" xfId="3" applyNumberFormat="1" applyFont="1" applyFill="1" applyBorder="1" applyAlignment="1" applyProtection="1">
      <alignment horizontal="center"/>
    </xf>
    <xf numFmtId="0" fontId="2" fillId="0" borderId="2" xfId="3" applyFont="1" applyFill="1" applyBorder="1" applyProtection="1"/>
    <xf numFmtId="3" fontId="2" fillId="0" borderId="2" xfId="3" applyNumberFormat="1" applyFont="1" applyFill="1" applyBorder="1" applyAlignment="1" applyProtection="1">
      <alignment horizontal="center"/>
      <protection locked="0"/>
    </xf>
    <xf numFmtId="3" fontId="2" fillId="0" borderId="2" xfId="3" applyNumberFormat="1" applyFont="1" applyFill="1" applyBorder="1" applyAlignment="1" applyProtection="1">
      <protection locked="0"/>
    </xf>
    <xf numFmtId="0" fontId="2" fillId="0" borderId="2" xfId="3" applyFont="1" applyFill="1" applyBorder="1" applyProtection="1">
      <protection locked="0"/>
    </xf>
    <xf numFmtId="3" fontId="2" fillId="0" borderId="12" xfId="3" applyNumberFormat="1" applyFont="1" applyFill="1" applyBorder="1" applyAlignment="1" applyProtection="1">
      <protection locked="0"/>
    </xf>
    <xf numFmtId="3" fontId="2" fillId="0" borderId="2" xfId="6" applyNumberFormat="1" applyFont="1" applyFill="1" applyBorder="1" applyAlignment="1" applyProtection="1">
      <alignment horizontal="center"/>
    </xf>
    <xf numFmtId="0" fontId="2" fillId="0" borderId="2" xfId="6" applyFont="1" applyFill="1" applyBorder="1" applyProtection="1"/>
    <xf numFmtId="0" fontId="9" fillId="0" borderId="3" xfId="3" applyFont="1" applyFill="1" applyBorder="1" applyProtection="1"/>
    <xf numFmtId="3" fontId="9" fillId="0" borderId="2" xfId="3" applyNumberFormat="1" applyFont="1" applyFill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</cellXfs>
  <cellStyles count="7">
    <cellStyle name="Comma 2" xfId="4"/>
    <cellStyle name="Normal" xfId="0" builtinId="0"/>
    <cellStyle name="Normal 2" xfId="1"/>
    <cellStyle name="Normal 3" xfId="3"/>
    <cellStyle name="Normal_Suppliers" xfId="6"/>
    <cellStyle name="Percent" xfId="2" builtinId="5"/>
    <cellStyle name="Percent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17_Total/2017_03_March_total_load_by_segment_KT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ustomer_count_files/201703_March_2017_customer_count_calculation_KT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LRS"/>
      <sheetName val="SS"/>
      <sheetName val="No_UFE_total_load"/>
      <sheetName val="Sheet2"/>
      <sheetName val="Just Total"/>
      <sheetName val="For Report"/>
      <sheetName val="total_res"/>
      <sheetName val="UI-RES"/>
      <sheetName val="Alt_res"/>
      <sheetName val="total_C&amp;I"/>
      <sheetName val="UI_C&amp;I_SS"/>
      <sheetName val="ALT_C&amp;I"/>
      <sheetName val="LRS-SOL"/>
      <sheetName val="1268&amp;1269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4">
          <cell r="H24">
            <v>71561.169999999795</v>
          </cell>
        </row>
        <row r="25">
          <cell r="H25">
            <v>113647.38612799975</v>
          </cell>
        </row>
        <row r="26">
          <cell r="H26">
            <v>95287.37487199984</v>
          </cell>
        </row>
        <row r="29">
          <cell r="H29">
            <v>110831.57500000003</v>
          </cell>
        </row>
        <row r="30">
          <cell r="H30">
            <v>39486.819999999942</v>
          </cell>
        </row>
        <row r="31">
          <cell r="H31">
            <v>8357.0759999999955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4"/>
      <sheetName val="Raw no stations "/>
      <sheetName val="For RFP"/>
      <sheetName val="RES"/>
      <sheetName val="C&amp;I"/>
      <sheetName val="LRS"/>
      <sheetName val="Summary"/>
      <sheetName val="Stations"/>
      <sheetName val="Suppliers"/>
      <sheetName val="Sheet3"/>
      <sheetName val="Suppliers codes"/>
      <sheetName val="Sheet2"/>
      <sheetName val="commercial"/>
      <sheetName val="resident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8">
          <cell r="B18">
            <v>107236</v>
          </cell>
        </row>
        <row r="19">
          <cell r="B19">
            <v>22045</v>
          </cell>
        </row>
        <row r="20">
          <cell r="B20">
            <v>220</v>
          </cell>
        </row>
        <row r="22">
          <cell r="B22">
            <v>193238</v>
          </cell>
        </row>
        <row r="23">
          <cell r="B23">
            <v>16771</v>
          </cell>
        </row>
        <row r="24">
          <cell r="B24">
            <v>26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showZeros="0" tabSelected="1" zoomScaleNormal="100" workbookViewId="0">
      <selection activeCell="J15" sqref="J15"/>
    </sheetView>
  </sheetViews>
  <sheetFormatPr defaultColWidth="9.109375" defaultRowHeight="13.2" x14ac:dyDescent="0.25"/>
  <cols>
    <col min="1" max="1" width="18.109375" style="3" customWidth="1"/>
    <col min="2" max="2" width="14.33203125" style="3" customWidth="1"/>
    <col min="3" max="3" width="11.6640625" style="3" customWidth="1"/>
    <col min="4" max="4" width="14.33203125" style="3" customWidth="1"/>
    <col min="5" max="5" width="11.6640625" style="3" customWidth="1"/>
    <col min="6" max="6" width="14.33203125" style="3" customWidth="1"/>
    <col min="7" max="7" width="11.6640625" style="3" customWidth="1"/>
    <col min="8" max="8" width="14.33203125" style="3" customWidth="1"/>
    <col min="9" max="9" width="11.6640625" style="3" customWidth="1"/>
    <col min="10" max="16384" width="9.109375" style="3"/>
  </cols>
  <sheetData>
    <row r="1" spans="1:15" s="9" customFormat="1" ht="18" customHeight="1" x14ac:dyDescent="0.25">
      <c r="A1" s="25" t="s">
        <v>0</v>
      </c>
      <c r="B1" s="26"/>
      <c r="C1" s="26"/>
      <c r="D1" s="26"/>
      <c r="E1" s="26"/>
      <c r="F1" s="26"/>
      <c r="G1" s="27"/>
      <c r="H1" s="28"/>
      <c r="I1" s="28"/>
    </row>
    <row r="2" spans="1:15" s="9" customFormat="1" ht="18" customHeight="1" x14ac:dyDescent="0.25">
      <c r="A2" s="25" t="s">
        <v>104</v>
      </c>
      <c r="B2" s="26"/>
      <c r="C2" s="26"/>
      <c r="D2" s="26"/>
      <c r="E2" s="26"/>
      <c r="F2" s="26"/>
      <c r="G2" s="27"/>
      <c r="H2" s="28"/>
      <c r="I2" s="28"/>
    </row>
    <row r="3" spans="1:15" s="9" customFormat="1" ht="18" customHeight="1" x14ac:dyDescent="0.25">
      <c r="A3" s="25" t="s">
        <v>56</v>
      </c>
      <c r="B3" s="26"/>
      <c r="C3" s="26"/>
      <c r="D3" s="26"/>
      <c r="E3" s="26"/>
      <c r="F3" s="26"/>
      <c r="G3" s="27"/>
      <c r="H3" s="28"/>
      <c r="I3" s="28"/>
    </row>
    <row r="4" spans="1:15" s="9" customFormat="1" ht="18" customHeight="1" x14ac:dyDescent="0.25">
      <c r="A4" s="25" t="s">
        <v>38</v>
      </c>
      <c r="B4" s="26"/>
      <c r="C4" s="26"/>
      <c r="D4" s="26"/>
      <c r="E4" s="26"/>
      <c r="F4" s="26"/>
      <c r="G4" s="27"/>
      <c r="H4" s="28"/>
      <c r="I4" s="28"/>
    </row>
    <row r="5" spans="1:15" s="9" customFormat="1" ht="18" customHeight="1" x14ac:dyDescent="0.25">
      <c r="A5" s="29" t="s">
        <v>2</v>
      </c>
      <c r="B5" s="28"/>
      <c r="C5" s="28"/>
      <c r="D5" s="28"/>
      <c r="E5" s="28"/>
      <c r="F5" s="28"/>
      <c r="G5" s="28"/>
      <c r="H5" s="28"/>
      <c r="I5" s="28"/>
    </row>
    <row r="6" spans="1:15" s="9" customFormat="1" ht="18" customHeight="1" x14ac:dyDescent="0.25">
      <c r="A6" s="24" t="s">
        <v>116</v>
      </c>
      <c r="B6" s="28"/>
      <c r="C6" s="28"/>
      <c r="D6" s="73"/>
      <c r="E6" s="73"/>
      <c r="F6" s="73"/>
      <c r="G6" s="28"/>
      <c r="H6" s="28"/>
      <c r="I6" s="28"/>
    </row>
    <row r="8" spans="1:15" ht="18" customHeight="1" x14ac:dyDescent="0.25">
      <c r="A8" s="31" t="s">
        <v>41</v>
      </c>
      <c r="B8" s="32"/>
      <c r="C8" s="32"/>
      <c r="D8" s="32"/>
      <c r="E8" s="32"/>
      <c r="F8" s="32"/>
      <c r="G8" s="33"/>
      <c r="H8" s="28"/>
      <c r="I8" s="28"/>
    </row>
    <row r="9" spans="1:15" s="38" customFormat="1" ht="18" customHeight="1" x14ac:dyDescent="0.25">
      <c r="A9" s="3"/>
      <c r="B9" s="34" t="s">
        <v>42</v>
      </c>
      <c r="C9" s="35"/>
      <c r="D9" s="34" t="s">
        <v>8</v>
      </c>
      <c r="E9" s="36"/>
      <c r="F9" s="34" t="s">
        <v>9</v>
      </c>
      <c r="G9" s="37"/>
      <c r="H9" s="34" t="s">
        <v>44</v>
      </c>
      <c r="I9" s="36"/>
    </row>
    <row r="10" spans="1:15" ht="18" customHeight="1" x14ac:dyDescent="0.25">
      <c r="A10" s="39"/>
      <c r="B10" s="40" t="s">
        <v>11</v>
      </c>
      <c r="C10" s="41" t="s">
        <v>31</v>
      </c>
      <c r="D10" s="40" t="str">
        <f>B10</f>
        <v>MWh</v>
      </c>
      <c r="E10" s="41" t="s">
        <v>31</v>
      </c>
      <c r="F10" s="40" t="str">
        <f>D10</f>
        <v>MWh</v>
      </c>
      <c r="G10" s="41" t="s">
        <v>31</v>
      </c>
      <c r="H10" s="40" t="str">
        <f>F10</f>
        <v>MWh</v>
      </c>
      <c r="I10" s="41" t="s">
        <v>30</v>
      </c>
    </row>
    <row r="11" spans="1:15" ht="18" customHeight="1" x14ac:dyDescent="0.25">
      <c r="A11" s="42" t="s">
        <v>13</v>
      </c>
      <c r="B11" s="71">
        <f>[1]Check!$H$24</f>
        <v>71561.169999999795</v>
      </c>
      <c r="C11" s="43">
        <f>IF(B11=0,0,B11/$B$13)</f>
        <v>0.39234658154851426</v>
      </c>
      <c r="D11" s="71">
        <f>[1]Check!$H$25</f>
        <v>113647.38612799975</v>
      </c>
      <c r="E11" s="43">
        <f>IF(D11=0,0,D11/$D$13)</f>
        <v>0.74214239262131776</v>
      </c>
      <c r="F11" s="71">
        <f>[1]Check!$H$26</f>
        <v>95287.37487199984</v>
      </c>
      <c r="G11" s="43">
        <f>IF(F11=0,0,F11/$F$13)</f>
        <v>0.91936783947728251</v>
      </c>
      <c r="H11" s="44">
        <f>IF(B11+D11+F11=0,0,B11+D11+F11)</f>
        <v>280495.9309999994</v>
      </c>
      <c r="I11" s="43">
        <f>IF(H11=0,0,H11/$H$13)</f>
        <v>0.6386935254040057</v>
      </c>
    </row>
    <row r="12" spans="1:15" ht="18" customHeight="1" x14ac:dyDescent="0.25">
      <c r="A12" s="42" t="s">
        <v>15</v>
      </c>
      <c r="B12" s="72">
        <f>[1]Check!$H$29</f>
        <v>110831.57500000003</v>
      </c>
      <c r="C12" s="43">
        <f>IF(B12=0,0,B12/$B$13)</f>
        <v>0.60765341845148579</v>
      </c>
      <c r="D12" s="72">
        <f>[1]Check!$H$30</f>
        <v>39486.819999999942</v>
      </c>
      <c r="E12" s="43">
        <f>IF(D12=0,0,D12/$D$13)</f>
        <v>0.25785760737868224</v>
      </c>
      <c r="F12" s="72">
        <f>[1]Check!$H$31</f>
        <v>8357.0759999999955</v>
      </c>
      <c r="G12" s="43">
        <f>IF(F12=0,0,F12/$F$13)</f>
        <v>8.0632160522717461E-2</v>
      </c>
      <c r="H12" s="105">
        <f>IF(B12+D12+F12=0,0,B12+D12+F12)</f>
        <v>158675.47099999996</v>
      </c>
      <c r="I12" s="43">
        <f>IF(H12=0,0,H12/$H$13)</f>
        <v>0.3613064745959943</v>
      </c>
    </row>
    <row r="13" spans="1:15" ht="18" customHeight="1" x14ac:dyDescent="0.25">
      <c r="A13" s="42" t="s">
        <v>16</v>
      </c>
      <c r="B13" s="45">
        <f>SUM(B11:B12)</f>
        <v>182392.74499999982</v>
      </c>
      <c r="C13" s="46"/>
      <c r="D13" s="45">
        <f>SUM(D11:D12)</f>
        <v>153134.2061279997</v>
      </c>
      <c r="E13" s="46"/>
      <c r="F13" s="45">
        <f>SUM(F11:F12)</f>
        <v>103644.45087199984</v>
      </c>
      <c r="G13" s="46"/>
      <c r="H13" s="45">
        <f>IF(H11+H12=0,0,H11+H12)</f>
        <v>439171.40199999936</v>
      </c>
      <c r="I13" s="47"/>
    </row>
    <row r="14" spans="1:15" ht="18" customHeight="1" x14ac:dyDescent="0.25">
      <c r="A14" s="102" t="str">
        <f>"As the above table shows, "&amp;TEXT(H11,"0,000")&amp; " MWh, or "&amp;TEXT(I11,"0.0%")&amp;" of UI's total load is served by electric suppliers"</f>
        <v>As the above table shows, 280,496 MWh, or 63.9% of UI's total load is served by electric suppliers</v>
      </c>
      <c r="H14" s="30"/>
      <c r="L14" s="104"/>
      <c r="M14" s="104"/>
      <c r="O14" s="104"/>
    </row>
    <row r="15" spans="1:15" ht="18" customHeight="1" x14ac:dyDescent="0.25">
      <c r="A15" s="102" t="str">
        <f>"while "&amp;TEXT(H12,"0,000")&amp;" MHh, or "&amp;TEXT(I12,"0.0%")&amp;" of the load is provided under Standard Service or Last Resort service through UI."</f>
        <v>while 158,675 MHh, or 36.1% of the load is provided under Standard Service or Last Resort service through UI.</v>
      </c>
      <c r="B15" s="49"/>
      <c r="C15" s="50"/>
      <c r="D15" s="49"/>
      <c r="E15" s="50"/>
      <c r="F15" s="51"/>
      <c r="G15" s="52"/>
      <c r="H15" s="30"/>
    </row>
    <row r="16" spans="1:15" ht="13.8" x14ac:dyDescent="0.25">
      <c r="G16" s="52"/>
      <c r="H16" s="30"/>
    </row>
    <row r="17" spans="1:17" ht="18" customHeight="1" x14ac:dyDescent="0.25">
      <c r="A17" s="31" t="s">
        <v>40</v>
      </c>
      <c r="B17" s="32"/>
      <c r="C17" s="32"/>
      <c r="D17" s="32"/>
      <c r="E17" s="32"/>
      <c r="F17" s="32"/>
      <c r="G17" s="53"/>
      <c r="H17" s="27"/>
      <c r="I17" s="28"/>
    </row>
    <row r="18" spans="1:17" ht="18" customHeight="1" x14ac:dyDescent="0.25">
      <c r="A18" s="42"/>
      <c r="B18" s="34" t="s">
        <v>42</v>
      </c>
      <c r="C18" s="54"/>
      <c r="D18" s="34" t="s">
        <v>8</v>
      </c>
      <c r="E18" s="55"/>
      <c r="F18" s="34" t="s">
        <v>9</v>
      </c>
      <c r="G18" s="37"/>
      <c r="H18" s="34" t="s">
        <v>44</v>
      </c>
      <c r="I18" s="36"/>
      <c r="O18" s="103"/>
    </row>
    <row r="19" spans="1:17" ht="18" customHeight="1" x14ac:dyDescent="0.25">
      <c r="A19" s="39"/>
      <c r="B19" s="40" t="s">
        <v>22</v>
      </c>
      <c r="C19" s="41" t="s">
        <v>31</v>
      </c>
      <c r="D19" s="40" t="str">
        <f>B19</f>
        <v>Customers</v>
      </c>
      <c r="E19" s="41" t="s">
        <v>31</v>
      </c>
      <c r="F19" s="40" t="str">
        <f>D19</f>
        <v>Customers</v>
      </c>
      <c r="G19" s="41" t="s">
        <v>31</v>
      </c>
      <c r="H19" s="40" t="str">
        <f>F19</f>
        <v>Customers</v>
      </c>
      <c r="I19" s="41" t="s">
        <v>30</v>
      </c>
    </row>
    <row r="20" spans="1:17" ht="18" customHeight="1" x14ac:dyDescent="0.25">
      <c r="A20" s="42" t="str">
        <f>A11</f>
        <v>Suppliers</v>
      </c>
      <c r="B20" s="71">
        <f>[2]Summary!$B$18</f>
        <v>107236</v>
      </c>
      <c r="C20" s="43">
        <f>IF(B20=0,0,B20/$B$22)</f>
        <v>0.35688944800548467</v>
      </c>
      <c r="D20" s="71">
        <f>[2]Summary!$B$19</f>
        <v>22045</v>
      </c>
      <c r="E20" s="56">
        <f>IF(D20=0,0,D20/$D$22)</f>
        <v>0.56793590272052763</v>
      </c>
      <c r="F20" s="71">
        <f>[2]Summary!$B$20</f>
        <v>220</v>
      </c>
      <c r="G20" s="43">
        <f>IF(F20=0,0,F20/$F$22)</f>
        <v>0.89430894308943087</v>
      </c>
      <c r="H20" s="44">
        <f>IF(B20+D20+F20=0,0,B20+D20+F20)</f>
        <v>129501</v>
      </c>
      <c r="I20" s="43">
        <f>IF(H20=0,0,H20/$H$22)</f>
        <v>0.38140580085764103</v>
      </c>
      <c r="J20" s="57"/>
      <c r="M20" s="104"/>
    </row>
    <row r="21" spans="1:17" ht="18" customHeight="1" x14ac:dyDescent="0.25">
      <c r="A21" s="42" t="str">
        <f>A12</f>
        <v>UI</v>
      </c>
      <c r="B21" s="72">
        <f>[2]Summary!$B$22</f>
        <v>193238</v>
      </c>
      <c r="C21" s="43">
        <f>IF(B21=0,0,B21/$B$22)</f>
        <v>0.64311055199451528</v>
      </c>
      <c r="D21" s="72">
        <f>[2]Summary!$B$23</f>
        <v>16771</v>
      </c>
      <c r="E21" s="56">
        <f>IF(D21=0,0,D21/$D$22)</f>
        <v>0.43206409727947237</v>
      </c>
      <c r="F21" s="72">
        <f>[2]Summary!$B$24</f>
        <v>26</v>
      </c>
      <c r="G21" s="43">
        <f>IF(F21=0,0,F21/$F$22)</f>
        <v>0.10569105691056911</v>
      </c>
      <c r="H21" s="72">
        <f>IF(B21+D21+F21=0,0,B21+D21+F21)</f>
        <v>210035</v>
      </c>
      <c r="I21" s="43">
        <f>IF(H21=0,0,H21/$H$22)</f>
        <v>0.61859419914235902</v>
      </c>
    </row>
    <row r="22" spans="1:17" ht="18" customHeight="1" x14ac:dyDescent="0.25">
      <c r="A22" s="42" t="str">
        <f>A13</f>
        <v xml:space="preserve">     Total</v>
      </c>
      <c r="B22" s="45">
        <f>SUM(B20:B21)</f>
        <v>300474</v>
      </c>
      <c r="C22" s="58"/>
      <c r="D22" s="45">
        <f>SUM(D20:D21)</f>
        <v>38816</v>
      </c>
      <c r="E22" s="46"/>
      <c r="F22" s="45">
        <f>SUM(F20:F21)</f>
        <v>246</v>
      </c>
      <c r="G22" s="46"/>
      <c r="H22" s="45">
        <f>IF(H20+H21=0,0,H20+H21)</f>
        <v>339536</v>
      </c>
      <c r="I22" s="47"/>
      <c r="N22" s="104"/>
      <c r="Q22" s="104"/>
    </row>
    <row r="23" spans="1:17" ht="18" customHeight="1" x14ac:dyDescent="0.25">
      <c r="G23" s="52"/>
      <c r="H23" s="30"/>
    </row>
    <row r="24" spans="1:17" ht="18" customHeight="1" x14ac:dyDescent="0.25">
      <c r="A24" s="102" t="str">
        <f>"As the above table shows, "&amp;TEXT(H20,"0,000")&amp; " of UI's total customers, or "&amp;TEXT(I20,"0.0%")&amp;" are served by electric suppliers"</f>
        <v>As the above table shows, 129,501 of UI's total customers, or 38.1% are served by electric suppliers</v>
      </c>
      <c r="G24" s="52"/>
      <c r="H24" s="30"/>
      <c r="J24" s="104"/>
    </row>
    <row r="25" spans="1:17" ht="18" customHeight="1" x14ac:dyDescent="0.25">
      <c r="A25" s="102" t="str">
        <f>"while "&amp;TEXT(H21,"0,000")&amp;" or "&amp;TEXT(I21,"0.0%")&amp;" of the customers continue to receive Standard Service or Last Resort service through UI."</f>
        <v>while 210,035 or 61.9% of the customers continue to receive Standard Service or Last Resort service through UI.</v>
      </c>
      <c r="B25" s="59"/>
      <c r="C25" s="59"/>
      <c r="D25" s="59"/>
      <c r="E25" s="59"/>
      <c r="F25" s="60"/>
      <c r="G25" s="61"/>
      <c r="H25" s="30"/>
    </row>
    <row r="26" spans="1:17" ht="18" customHeight="1" x14ac:dyDescent="0.25">
      <c r="B26" s="30"/>
      <c r="C26" s="30"/>
      <c r="D26" s="61"/>
      <c r="E26" s="61"/>
      <c r="F26" s="62"/>
      <c r="G26" s="62"/>
      <c r="H26" s="30"/>
    </row>
    <row r="28" spans="1:17" ht="13.8" x14ac:dyDescent="0.25">
      <c r="A28" s="69" t="s">
        <v>39</v>
      </c>
      <c r="I28" s="104"/>
    </row>
    <row r="29" spans="1:17" ht="13.8" x14ac:dyDescent="0.25">
      <c r="A29" s="69" t="s">
        <v>43</v>
      </c>
    </row>
    <row r="30" spans="1:17" ht="13.8" x14ac:dyDescent="0.25">
      <c r="A30" s="69" t="s">
        <v>78</v>
      </c>
    </row>
    <row r="31" spans="1:17" x14ac:dyDescent="0.25">
      <c r="A31" s="70" t="s">
        <v>29</v>
      </c>
    </row>
    <row r="32" spans="1:17" x14ac:dyDescent="0.25">
      <c r="A32" s="70" t="s">
        <v>35</v>
      </c>
    </row>
    <row r="36" spans="1:1" x14ac:dyDescent="0.25">
      <c r="A36" s="104"/>
    </row>
  </sheetData>
  <phoneticPr fontId="0" type="noConversion"/>
  <printOptions horizontalCentered="1"/>
  <pageMargins left="0.75" right="0.5" top="1.5" bottom="0.75" header="0.5" footer="0"/>
  <pageSetup fitToHeight="2" orientation="landscape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4"/>
  <sheetViews>
    <sheetView showGridLines="0" showZeros="0" topLeftCell="A13" zoomScaleNormal="100" workbookViewId="0">
      <selection activeCell="B5" sqref="B5"/>
    </sheetView>
  </sheetViews>
  <sheetFormatPr defaultColWidth="9.109375" defaultRowHeight="13.2" x14ac:dyDescent="0.25"/>
  <cols>
    <col min="1" max="1" width="4.44140625" style="1" customWidth="1"/>
    <col min="2" max="2" width="40.33203125" style="1" customWidth="1"/>
    <col min="3" max="3" width="14.33203125" style="1" customWidth="1"/>
    <col min="4" max="4" width="13.6640625" style="1" customWidth="1"/>
    <col min="5" max="5" width="11.6640625" style="1" customWidth="1"/>
    <col min="6" max="6" width="16.88671875" style="1" customWidth="1"/>
    <col min="7" max="11" width="9.109375" style="1"/>
    <col min="12" max="16384" width="9.109375" style="3"/>
  </cols>
  <sheetData>
    <row r="1" spans="1:11" s="9" customFormat="1" ht="18" customHeight="1" x14ac:dyDescent="0.25">
      <c r="A1" s="14" t="str">
        <f>'Summary Load Customers '!A1</f>
        <v>The United Illuminating Company</v>
      </c>
      <c r="B1" s="15"/>
      <c r="C1" s="15"/>
      <c r="D1" s="15"/>
      <c r="E1" s="15"/>
      <c r="F1" s="7"/>
      <c r="G1" s="8"/>
      <c r="H1" s="8"/>
      <c r="I1" s="8"/>
      <c r="J1" s="8"/>
      <c r="K1" s="8"/>
    </row>
    <row r="2" spans="1:11" s="9" customFormat="1" ht="18" customHeight="1" x14ac:dyDescent="0.25">
      <c r="A2" s="118" t="s">
        <v>104</v>
      </c>
      <c r="B2" s="118"/>
      <c r="C2" s="118"/>
      <c r="D2" s="118"/>
      <c r="E2" s="118"/>
      <c r="F2" s="118"/>
      <c r="G2" s="27"/>
      <c r="H2" s="28"/>
      <c r="I2" s="28"/>
    </row>
    <row r="3" spans="1:11" s="9" customFormat="1" ht="18" customHeight="1" x14ac:dyDescent="0.25">
      <c r="A3" s="14" t="s">
        <v>1</v>
      </c>
      <c r="B3" s="15"/>
      <c r="C3" s="15"/>
      <c r="D3" s="15"/>
      <c r="E3" s="15"/>
      <c r="F3" s="7"/>
      <c r="G3" s="8"/>
      <c r="H3" s="8"/>
      <c r="I3" s="8"/>
      <c r="J3" s="8"/>
      <c r="K3" s="8"/>
    </row>
    <row r="4" spans="1:11" s="9" customFormat="1" ht="18" customHeight="1" x14ac:dyDescent="0.25">
      <c r="A4" s="14" t="s">
        <v>2</v>
      </c>
      <c r="B4" s="15"/>
      <c r="C4" s="15"/>
      <c r="D4" s="15"/>
      <c r="E4" s="15"/>
      <c r="F4" s="7"/>
      <c r="G4" s="8"/>
      <c r="H4" s="8"/>
      <c r="I4" s="8"/>
      <c r="J4" s="8"/>
      <c r="K4" s="8"/>
    </row>
    <row r="5" spans="1:11" s="9" customFormat="1" ht="18" customHeight="1" x14ac:dyDescent="0.25">
      <c r="A5" s="10" t="str">
        <f>'Summary Load Customers '!A6</f>
        <v>Data as of March 31, 2017</v>
      </c>
      <c r="B5" s="15"/>
      <c r="C5" s="15"/>
      <c r="D5" s="15"/>
      <c r="E5" s="15"/>
      <c r="F5" s="16"/>
      <c r="G5" s="8"/>
      <c r="H5" s="8"/>
      <c r="I5" s="8"/>
      <c r="J5" s="8"/>
      <c r="K5" s="8"/>
    </row>
    <row r="6" spans="1:11" ht="9" customHeight="1" x14ac:dyDescent="0.25">
      <c r="A6" s="17"/>
      <c r="B6" s="6"/>
      <c r="C6" s="18"/>
      <c r="D6" s="18"/>
      <c r="E6" s="12"/>
      <c r="F6" s="12"/>
    </row>
    <row r="7" spans="1:11" s="9" customFormat="1" ht="18" customHeight="1" x14ac:dyDescent="0.25">
      <c r="A7" s="19"/>
      <c r="B7" s="20"/>
      <c r="C7" s="4" t="s">
        <v>3</v>
      </c>
      <c r="D7" s="13"/>
      <c r="E7" s="13"/>
      <c r="F7" s="21"/>
      <c r="G7" s="8"/>
      <c r="H7" s="8"/>
      <c r="I7" s="8"/>
      <c r="J7" s="8"/>
      <c r="K7" s="8"/>
    </row>
    <row r="8" spans="1:11" ht="26.4" x14ac:dyDescent="0.25">
      <c r="A8" s="22"/>
      <c r="B8" s="5" t="s">
        <v>4</v>
      </c>
      <c r="C8" s="5" t="s">
        <v>5</v>
      </c>
      <c r="D8" s="5" t="s">
        <v>6</v>
      </c>
      <c r="E8" s="5" t="s">
        <v>7</v>
      </c>
      <c r="F8" s="5" t="s">
        <v>36</v>
      </c>
    </row>
    <row r="9" spans="1:11" ht="14.25" customHeight="1" x14ac:dyDescent="0.25">
      <c r="A9" s="108">
        <v>1</v>
      </c>
      <c r="B9" s="109" t="s">
        <v>88</v>
      </c>
      <c r="C9" s="110">
        <v>300</v>
      </c>
      <c r="D9" s="110">
        <v>102</v>
      </c>
      <c r="E9" s="114">
        <f>SUM(C9:D9)</f>
        <v>402</v>
      </c>
      <c r="F9" s="23">
        <f>IF(E9=0,"",E9/$E$69)</f>
        <v>3.104223133412097E-3</v>
      </c>
    </row>
    <row r="10" spans="1:11" ht="14.25" customHeight="1" x14ac:dyDescent="0.25">
      <c r="A10" s="108">
        <v>2</v>
      </c>
      <c r="B10" s="109" t="s">
        <v>87</v>
      </c>
      <c r="C10" s="110">
        <v>423</v>
      </c>
      <c r="D10" s="110">
        <v>327</v>
      </c>
      <c r="E10" s="114">
        <f t="shared" ref="E10:E68" si="0">SUM(C10:D10)</f>
        <v>750</v>
      </c>
      <c r="F10" s="23">
        <f t="shared" ref="F10:F68" si="1">IF(E10=0,"",E10/$E$69)</f>
        <v>5.7914610697986889E-3</v>
      </c>
    </row>
    <row r="11" spans="1:11" ht="14.25" customHeight="1" x14ac:dyDescent="0.25">
      <c r="A11" s="108">
        <v>3</v>
      </c>
      <c r="B11" s="109" t="s">
        <v>105</v>
      </c>
      <c r="C11" s="110">
        <v>439</v>
      </c>
      <c r="D11" s="110">
        <v>684</v>
      </c>
      <c r="E11" s="114">
        <f t="shared" si="0"/>
        <v>1123</v>
      </c>
      <c r="F11" s="23">
        <f t="shared" si="1"/>
        <v>8.6717477085119041E-3</v>
      </c>
    </row>
    <row r="12" spans="1:11" ht="14.25" customHeight="1" x14ac:dyDescent="0.25">
      <c r="A12" s="108">
        <v>4</v>
      </c>
      <c r="B12" s="109" t="s">
        <v>82</v>
      </c>
      <c r="C12" s="110">
        <v>10523</v>
      </c>
      <c r="D12" s="110">
        <v>777</v>
      </c>
      <c r="E12" s="114">
        <f t="shared" si="0"/>
        <v>11300</v>
      </c>
      <c r="F12" s="23">
        <f t="shared" si="1"/>
        <v>8.7258013451633573E-2</v>
      </c>
    </row>
    <row r="13" spans="1:11" ht="14.25" customHeight="1" x14ac:dyDescent="0.25">
      <c r="A13" s="108">
        <v>5</v>
      </c>
      <c r="B13" s="109" t="s">
        <v>107</v>
      </c>
      <c r="C13" s="110">
        <v>0</v>
      </c>
      <c r="D13" s="110">
        <v>4</v>
      </c>
      <c r="E13" s="114">
        <f t="shared" si="0"/>
        <v>4</v>
      </c>
      <c r="F13" s="23">
        <f t="shared" si="1"/>
        <v>3.0887792372259675E-5</v>
      </c>
    </row>
    <row r="14" spans="1:11" ht="14.25" customHeight="1" x14ac:dyDescent="0.25">
      <c r="A14" s="108">
        <v>6</v>
      </c>
      <c r="B14" s="109" t="s">
        <v>92</v>
      </c>
      <c r="C14" s="110">
        <v>0</v>
      </c>
      <c r="D14" s="110">
        <v>0</v>
      </c>
      <c r="E14" s="114">
        <f t="shared" si="0"/>
        <v>0</v>
      </c>
      <c r="F14" s="23" t="str">
        <f t="shared" si="1"/>
        <v/>
      </c>
    </row>
    <row r="15" spans="1:11" ht="14.25" customHeight="1" x14ac:dyDescent="0.25">
      <c r="A15" s="108">
        <v>7</v>
      </c>
      <c r="B15" s="115" t="s">
        <v>102</v>
      </c>
      <c r="C15" s="110">
        <v>4</v>
      </c>
      <c r="D15" s="110">
        <v>145</v>
      </c>
      <c r="E15" s="114">
        <f t="shared" si="0"/>
        <v>149</v>
      </c>
      <c r="F15" s="23">
        <f t="shared" si="1"/>
        <v>1.1505702658666729E-3</v>
      </c>
    </row>
    <row r="16" spans="1:11" ht="14.25" customHeight="1" x14ac:dyDescent="0.25">
      <c r="A16" s="108">
        <v>8</v>
      </c>
      <c r="B16" s="111" t="s">
        <v>106</v>
      </c>
      <c r="C16" s="110">
        <v>187</v>
      </c>
      <c r="D16" s="110">
        <v>216</v>
      </c>
      <c r="E16" s="114">
        <f t="shared" si="0"/>
        <v>403</v>
      </c>
      <c r="F16" s="23">
        <f t="shared" si="1"/>
        <v>3.1119450815051621E-3</v>
      </c>
    </row>
    <row r="17" spans="1:6" ht="14.25" customHeight="1" x14ac:dyDescent="0.25">
      <c r="A17" s="108">
        <v>9</v>
      </c>
      <c r="B17" s="109" t="s">
        <v>113</v>
      </c>
      <c r="C17" s="110">
        <v>17</v>
      </c>
      <c r="D17" s="110">
        <v>3060</v>
      </c>
      <c r="E17" s="114">
        <f t="shared" si="0"/>
        <v>3077</v>
      </c>
      <c r="F17" s="23">
        <f t="shared" si="1"/>
        <v>2.3760434282360753E-2</v>
      </c>
    </row>
    <row r="18" spans="1:6" ht="14.25" customHeight="1" x14ac:dyDescent="0.25">
      <c r="A18" s="108">
        <v>10</v>
      </c>
      <c r="B18" s="111" t="s">
        <v>109</v>
      </c>
      <c r="C18" s="110">
        <v>0</v>
      </c>
      <c r="D18" s="110">
        <v>20</v>
      </c>
      <c r="E18" s="114">
        <f t="shared" si="0"/>
        <v>20</v>
      </c>
      <c r="F18" s="23">
        <f t="shared" si="1"/>
        <v>1.5443896186129836E-4</v>
      </c>
    </row>
    <row r="19" spans="1:6" ht="14.25" customHeight="1" x14ac:dyDescent="0.25">
      <c r="A19" s="108">
        <v>11</v>
      </c>
      <c r="B19" s="109" t="s">
        <v>53</v>
      </c>
      <c r="C19" s="110">
        <v>1006</v>
      </c>
      <c r="D19" s="110">
        <v>25</v>
      </c>
      <c r="E19" s="114">
        <f t="shared" si="0"/>
        <v>1031</v>
      </c>
      <c r="F19" s="23">
        <f t="shared" si="1"/>
        <v>7.9613284839499306E-3</v>
      </c>
    </row>
    <row r="20" spans="1:6" ht="14.25" customHeight="1" x14ac:dyDescent="0.25">
      <c r="A20" s="108">
        <v>12</v>
      </c>
      <c r="B20" s="109" t="s">
        <v>52</v>
      </c>
      <c r="C20" s="110">
        <v>0</v>
      </c>
      <c r="D20" s="110">
        <v>0</v>
      </c>
      <c r="E20" s="114">
        <f t="shared" si="0"/>
        <v>0</v>
      </c>
      <c r="F20" s="23" t="str">
        <f t="shared" si="1"/>
        <v/>
      </c>
    </row>
    <row r="21" spans="1:6" ht="14.25" customHeight="1" x14ac:dyDescent="0.25">
      <c r="A21" s="108">
        <v>13</v>
      </c>
      <c r="B21" s="109" t="s">
        <v>10</v>
      </c>
      <c r="C21" s="110">
        <v>4265</v>
      </c>
      <c r="D21" s="110">
        <v>20</v>
      </c>
      <c r="E21" s="114">
        <f t="shared" si="0"/>
        <v>4285</v>
      </c>
      <c r="F21" s="23">
        <f t="shared" si="1"/>
        <v>3.3088547578783177E-2</v>
      </c>
    </row>
    <row r="22" spans="1:6" ht="14.25" customHeight="1" x14ac:dyDescent="0.25">
      <c r="A22" s="108">
        <v>14</v>
      </c>
      <c r="B22" s="109" t="s">
        <v>12</v>
      </c>
      <c r="C22" s="110">
        <v>9055</v>
      </c>
      <c r="D22" s="110">
        <v>1036</v>
      </c>
      <c r="E22" s="114">
        <f t="shared" si="0"/>
        <v>10091</v>
      </c>
      <c r="F22" s="23">
        <f t="shared" si="1"/>
        <v>7.7922178207118095E-2</v>
      </c>
    </row>
    <row r="23" spans="1:6" ht="14.25" customHeight="1" x14ac:dyDescent="0.25">
      <c r="A23" s="108">
        <v>15</v>
      </c>
      <c r="B23" s="109" t="s">
        <v>84</v>
      </c>
      <c r="C23" s="110">
        <v>128</v>
      </c>
      <c r="D23" s="110">
        <v>64</v>
      </c>
      <c r="E23" s="114">
        <f t="shared" si="0"/>
        <v>192</v>
      </c>
      <c r="F23" s="23">
        <f t="shared" si="1"/>
        <v>1.4826140338684644E-3</v>
      </c>
    </row>
    <row r="24" spans="1:6" ht="14.25" customHeight="1" x14ac:dyDescent="0.25">
      <c r="A24" s="108">
        <v>16</v>
      </c>
      <c r="B24" s="109" t="s">
        <v>14</v>
      </c>
      <c r="C24" s="110">
        <v>339</v>
      </c>
      <c r="D24" s="110">
        <v>3052</v>
      </c>
      <c r="E24" s="114">
        <f t="shared" si="0"/>
        <v>3391</v>
      </c>
      <c r="F24" s="23">
        <f t="shared" si="1"/>
        <v>2.6185125983583139E-2</v>
      </c>
    </row>
    <row r="25" spans="1:6" ht="14.25" customHeight="1" x14ac:dyDescent="0.25">
      <c r="A25" s="108">
        <v>17</v>
      </c>
      <c r="B25" s="109" t="s">
        <v>81</v>
      </c>
      <c r="C25" s="110">
        <v>973</v>
      </c>
      <c r="D25" s="110">
        <v>120</v>
      </c>
      <c r="E25" s="114">
        <f t="shared" si="0"/>
        <v>1093</v>
      </c>
      <c r="F25" s="23">
        <f t="shared" si="1"/>
        <v>8.440089265719956E-3</v>
      </c>
    </row>
    <row r="26" spans="1:6" ht="14.25" customHeight="1" x14ac:dyDescent="0.25">
      <c r="A26" s="108">
        <v>18</v>
      </c>
      <c r="B26" s="109" t="s">
        <v>96</v>
      </c>
      <c r="C26" s="110">
        <v>73</v>
      </c>
      <c r="D26" s="110">
        <v>937</v>
      </c>
      <c r="E26" s="114">
        <f t="shared" si="0"/>
        <v>1010</v>
      </c>
      <c r="F26" s="23">
        <f t="shared" si="1"/>
        <v>7.7991675739955673E-3</v>
      </c>
    </row>
    <row r="27" spans="1:6" ht="14.25" customHeight="1" x14ac:dyDescent="0.25">
      <c r="A27" s="108">
        <v>19</v>
      </c>
      <c r="B27" s="109" t="s">
        <v>97</v>
      </c>
      <c r="C27" s="110">
        <v>12962</v>
      </c>
      <c r="D27" s="110">
        <v>3312</v>
      </c>
      <c r="E27" s="114">
        <f t="shared" si="0"/>
        <v>16274</v>
      </c>
      <c r="F27" s="23">
        <f t="shared" si="1"/>
        <v>0.1256669832665385</v>
      </c>
    </row>
    <row r="28" spans="1:6" ht="14.25" customHeight="1" x14ac:dyDescent="0.25">
      <c r="A28" s="108">
        <v>20</v>
      </c>
      <c r="B28" s="111" t="s">
        <v>49</v>
      </c>
      <c r="C28" s="110">
        <v>3530</v>
      </c>
      <c r="D28" s="110">
        <v>342</v>
      </c>
      <c r="E28" s="114">
        <f t="shared" si="0"/>
        <v>3872</v>
      </c>
      <c r="F28" s="23">
        <f t="shared" si="1"/>
        <v>2.9899383016347363E-2</v>
      </c>
    </row>
    <row r="29" spans="1:6" ht="14.25" customHeight="1" x14ac:dyDescent="0.25">
      <c r="A29" s="108">
        <v>21</v>
      </c>
      <c r="B29" s="109" t="s">
        <v>90</v>
      </c>
      <c r="C29" s="110">
        <v>0</v>
      </c>
      <c r="D29" s="110">
        <v>0</v>
      </c>
      <c r="E29" s="114">
        <f t="shared" si="0"/>
        <v>0</v>
      </c>
      <c r="F29" s="23" t="str">
        <f t="shared" si="1"/>
        <v/>
      </c>
    </row>
    <row r="30" spans="1:6" ht="14.25" customHeight="1" x14ac:dyDescent="0.25">
      <c r="A30" s="108">
        <v>22</v>
      </c>
      <c r="B30" s="111" t="s">
        <v>45</v>
      </c>
      <c r="C30" s="110">
        <v>746</v>
      </c>
      <c r="D30" s="110">
        <v>152</v>
      </c>
      <c r="E30" s="114">
        <f t="shared" si="0"/>
        <v>898</v>
      </c>
      <c r="F30" s="23">
        <f t="shared" si="1"/>
        <v>6.9343093875722968E-3</v>
      </c>
    </row>
    <row r="31" spans="1:6" ht="14.25" customHeight="1" x14ac:dyDescent="0.25">
      <c r="A31" s="108">
        <v>23</v>
      </c>
      <c r="B31" s="109" t="s">
        <v>108</v>
      </c>
      <c r="C31" s="110">
        <v>90</v>
      </c>
      <c r="D31" s="110">
        <v>689</v>
      </c>
      <c r="E31" s="114">
        <f t="shared" si="0"/>
        <v>779</v>
      </c>
      <c r="F31" s="23">
        <f t="shared" si="1"/>
        <v>6.0153975644975715E-3</v>
      </c>
    </row>
    <row r="32" spans="1:6" ht="14.25" customHeight="1" x14ac:dyDescent="0.25">
      <c r="A32" s="108">
        <v>24</v>
      </c>
      <c r="B32" s="111" t="s">
        <v>110</v>
      </c>
      <c r="C32" s="110">
        <v>0</v>
      </c>
      <c r="D32" s="110">
        <v>0</v>
      </c>
      <c r="E32" s="114">
        <f t="shared" si="0"/>
        <v>0</v>
      </c>
      <c r="F32" s="23" t="str">
        <f t="shared" si="1"/>
        <v/>
      </c>
    </row>
    <row r="33" spans="1:6" ht="14.25" customHeight="1" x14ac:dyDescent="0.25">
      <c r="A33" s="108">
        <v>25</v>
      </c>
      <c r="B33" s="111" t="s">
        <v>114</v>
      </c>
      <c r="C33" s="110">
        <v>2</v>
      </c>
      <c r="D33" s="110">
        <v>0</v>
      </c>
      <c r="E33" s="114">
        <f t="shared" si="0"/>
        <v>2</v>
      </c>
      <c r="F33" s="23">
        <f t="shared" si="1"/>
        <v>1.5443896186129837E-5</v>
      </c>
    </row>
    <row r="34" spans="1:6" ht="14.25" customHeight="1" x14ac:dyDescent="0.25">
      <c r="A34" s="108">
        <v>26</v>
      </c>
      <c r="B34" s="111" t="s">
        <v>111</v>
      </c>
      <c r="C34" s="110">
        <v>4111</v>
      </c>
      <c r="D34" s="110">
        <v>23</v>
      </c>
      <c r="E34" s="114">
        <f t="shared" si="0"/>
        <v>4134</v>
      </c>
      <c r="F34" s="23">
        <f t="shared" si="1"/>
        <v>3.1922533416730375E-2</v>
      </c>
    </row>
    <row r="35" spans="1:6" ht="14.25" customHeight="1" x14ac:dyDescent="0.25">
      <c r="A35" s="108">
        <v>27</v>
      </c>
      <c r="B35" s="109" t="s">
        <v>17</v>
      </c>
      <c r="C35" s="110">
        <v>0</v>
      </c>
      <c r="D35" s="110">
        <v>0</v>
      </c>
      <c r="E35" s="114">
        <f t="shared" si="0"/>
        <v>0</v>
      </c>
      <c r="F35" s="23" t="str">
        <f t="shared" si="1"/>
        <v/>
      </c>
    </row>
    <row r="36" spans="1:6" ht="14.25" customHeight="1" x14ac:dyDescent="0.25">
      <c r="A36" s="108">
        <v>28</v>
      </c>
      <c r="B36" s="109" t="s">
        <v>60</v>
      </c>
      <c r="C36" s="110">
        <v>0</v>
      </c>
      <c r="D36" s="110">
        <v>0</v>
      </c>
      <c r="E36" s="114">
        <f t="shared" si="0"/>
        <v>0</v>
      </c>
      <c r="F36" s="23" t="str">
        <f t="shared" si="1"/>
        <v/>
      </c>
    </row>
    <row r="37" spans="1:6" ht="14.25" customHeight="1" x14ac:dyDescent="0.25">
      <c r="A37" s="108">
        <v>29</v>
      </c>
      <c r="B37" s="109" t="s">
        <v>18</v>
      </c>
      <c r="C37" s="110">
        <v>0</v>
      </c>
      <c r="D37" s="110">
        <v>0</v>
      </c>
      <c r="E37" s="114">
        <f t="shared" si="0"/>
        <v>0</v>
      </c>
      <c r="F37" s="23" t="str">
        <f t="shared" si="1"/>
        <v/>
      </c>
    </row>
    <row r="38" spans="1:6" ht="14.25" customHeight="1" x14ac:dyDescent="0.25">
      <c r="A38" s="108">
        <v>30</v>
      </c>
      <c r="B38" s="109" t="s">
        <v>100</v>
      </c>
      <c r="C38" s="110">
        <v>0</v>
      </c>
      <c r="D38" s="110">
        <v>3</v>
      </c>
      <c r="E38" s="114">
        <f t="shared" si="0"/>
        <v>3</v>
      </c>
      <c r="F38" s="23">
        <f t="shared" si="1"/>
        <v>2.3165844279194756E-5</v>
      </c>
    </row>
    <row r="39" spans="1:6" ht="14.25" customHeight="1" x14ac:dyDescent="0.25">
      <c r="A39" s="108">
        <v>31</v>
      </c>
      <c r="B39" s="109" t="s">
        <v>89</v>
      </c>
      <c r="C39" s="110">
        <v>1097</v>
      </c>
      <c r="D39" s="110">
        <v>11</v>
      </c>
      <c r="E39" s="114">
        <f t="shared" si="0"/>
        <v>1108</v>
      </c>
      <c r="F39" s="23">
        <f t="shared" si="1"/>
        <v>8.5559184871159301E-3</v>
      </c>
    </row>
    <row r="40" spans="1:6" ht="14.25" customHeight="1" x14ac:dyDescent="0.25">
      <c r="A40" s="108">
        <v>32</v>
      </c>
      <c r="B40" s="109" t="s">
        <v>59</v>
      </c>
      <c r="C40" s="110">
        <v>0</v>
      </c>
      <c r="D40" s="110">
        <v>0</v>
      </c>
      <c r="E40" s="114">
        <f t="shared" si="0"/>
        <v>0</v>
      </c>
      <c r="F40" s="23" t="str">
        <f t="shared" si="1"/>
        <v/>
      </c>
    </row>
    <row r="41" spans="1:6" ht="14.25" customHeight="1" x14ac:dyDescent="0.25">
      <c r="A41" s="108">
        <v>33</v>
      </c>
      <c r="B41" s="109" t="s">
        <v>76</v>
      </c>
      <c r="C41" s="110">
        <v>0</v>
      </c>
      <c r="D41" s="110">
        <v>0</v>
      </c>
      <c r="E41" s="114">
        <f t="shared" si="0"/>
        <v>0</v>
      </c>
      <c r="F41" s="23" t="str">
        <f t="shared" si="1"/>
        <v/>
      </c>
    </row>
    <row r="42" spans="1:6" ht="14.25" customHeight="1" x14ac:dyDescent="0.25">
      <c r="A42" s="108">
        <v>34</v>
      </c>
      <c r="B42" s="109" t="s">
        <v>19</v>
      </c>
      <c r="C42" s="110">
        <v>450</v>
      </c>
      <c r="D42" s="110">
        <v>954</v>
      </c>
      <c r="E42" s="114">
        <f t="shared" si="0"/>
        <v>1404</v>
      </c>
      <c r="F42" s="23">
        <f t="shared" si="1"/>
        <v>1.0841615122663146E-2</v>
      </c>
    </row>
    <row r="43" spans="1:6" ht="14.25" customHeight="1" x14ac:dyDescent="0.25">
      <c r="A43" s="108">
        <v>35</v>
      </c>
      <c r="B43" s="109" t="s">
        <v>20</v>
      </c>
      <c r="C43" s="110">
        <v>0</v>
      </c>
      <c r="D43" s="110">
        <v>0</v>
      </c>
      <c r="E43" s="114">
        <f t="shared" si="0"/>
        <v>0</v>
      </c>
      <c r="F43" s="23" t="str">
        <f t="shared" si="1"/>
        <v/>
      </c>
    </row>
    <row r="44" spans="1:6" ht="14.25" customHeight="1" x14ac:dyDescent="0.25">
      <c r="A44" s="108">
        <v>36</v>
      </c>
      <c r="B44" s="109" t="s">
        <v>21</v>
      </c>
      <c r="C44" s="110">
        <v>4636</v>
      </c>
      <c r="D44" s="110">
        <v>397</v>
      </c>
      <c r="E44" s="114">
        <f t="shared" si="0"/>
        <v>5033</v>
      </c>
      <c r="F44" s="23">
        <f t="shared" si="1"/>
        <v>3.8864564752395733E-2</v>
      </c>
    </row>
    <row r="45" spans="1:6" ht="14.25" customHeight="1" x14ac:dyDescent="0.25">
      <c r="A45" s="108">
        <v>37</v>
      </c>
      <c r="B45" s="109" t="s">
        <v>112</v>
      </c>
      <c r="C45" s="110">
        <v>1</v>
      </c>
      <c r="D45" s="110">
        <v>0</v>
      </c>
      <c r="E45" s="114">
        <f t="shared" si="0"/>
        <v>1</v>
      </c>
      <c r="F45" s="23">
        <f t="shared" si="1"/>
        <v>7.7219480930649187E-6</v>
      </c>
    </row>
    <row r="46" spans="1:6" ht="14.25" customHeight="1" x14ac:dyDescent="0.25">
      <c r="A46" s="108">
        <v>38</v>
      </c>
      <c r="B46" s="109" t="s">
        <v>93</v>
      </c>
      <c r="C46" s="110">
        <v>225</v>
      </c>
      <c r="D46" s="110">
        <v>75</v>
      </c>
      <c r="E46" s="114">
        <f t="shared" si="0"/>
        <v>300</v>
      </c>
      <c r="F46" s="23">
        <f t="shared" si="1"/>
        <v>2.3165844279194755E-3</v>
      </c>
    </row>
    <row r="47" spans="1:6" ht="14.25" customHeight="1" x14ac:dyDescent="0.25">
      <c r="A47" s="108">
        <v>39</v>
      </c>
      <c r="B47" s="109" t="s">
        <v>77</v>
      </c>
      <c r="C47" s="110">
        <v>1</v>
      </c>
      <c r="D47" s="110">
        <v>59</v>
      </c>
      <c r="E47" s="114">
        <f t="shared" si="0"/>
        <v>60</v>
      </c>
      <c r="F47" s="23">
        <f t="shared" si="1"/>
        <v>4.6331688558389508E-4</v>
      </c>
    </row>
    <row r="48" spans="1:6" ht="14.25" customHeight="1" x14ac:dyDescent="0.25">
      <c r="A48" s="108">
        <v>40</v>
      </c>
      <c r="B48" s="109" t="s">
        <v>91</v>
      </c>
      <c r="C48" s="110">
        <v>364</v>
      </c>
      <c r="D48" s="110">
        <v>1331</v>
      </c>
      <c r="E48" s="114">
        <f t="shared" si="0"/>
        <v>1695</v>
      </c>
      <c r="F48" s="23">
        <f t="shared" si="1"/>
        <v>1.3088702017745037E-2</v>
      </c>
    </row>
    <row r="49" spans="1:6" ht="14.25" customHeight="1" x14ac:dyDescent="0.25">
      <c r="A49" s="108">
        <v>41</v>
      </c>
      <c r="B49" s="109" t="s">
        <v>50</v>
      </c>
      <c r="C49" s="110">
        <v>9471</v>
      </c>
      <c r="D49" s="110">
        <v>216</v>
      </c>
      <c r="E49" s="114">
        <f t="shared" si="0"/>
        <v>9687</v>
      </c>
      <c r="F49" s="23">
        <f t="shared" si="1"/>
        <v>7.4802511177519862E-2</v>
      </c>
    </row>
    <row r="50" spans="1:6" ht="14.25" customHeight="1" x14ac:dyDescent="0.25">
      <c r="A50" s="108">
        <v>42</v>
      </c>
      <c r="B50" s="109" t="s">
        <v>58</v>
      </c>
      <c r="C50" s="110">
        <v>296</v>
      </c>
      <c r="D50" s="110">
        <v>8</v>
      </c>
      <c r="E50" s="114">
        <f t="shared" si="0"/>
        <v>304</v>
      </c>
      <c r="F50" s="23">
        <f t="shared" si="1"/>
        <v>2.3474722202917351E-3</v>
      </c>
    </row>
    <row r="51" spans="1:6" x14ac:dyDescent="0.25">
      <c r="A51" s="108">
        <v>43</v>
      </c>
      <c r="B51" s="109" t="s">
        <v>94</v>
      </c>
      <c r="C51" s="110">
        <v>0</v>
      </c>
      <c r="D51" s="110">
        <v>0</v>
      </c>
      <c r="E51" s="114">
        <f t="shared" si="0"/>
        <v>0</v>
      </c>
      <c r="F51" s="23" t="str">
        <f t="shared" si="1"/>
        <v/>
      </c>
    </row>
    <row r="52" spans="1:6" x14ac:dyDescent="0.25">
      <c r="A52" s="108">
        <v>44</v>
      </c>
      <c r="B52" s="109" t="s">
        <v>85</v>
      </c>
      <c r="C52" s="110">
        <v>2288</v>
      </c>
      <c r="D52" s="110">
        <v>178</v>
      </c>
      <c r="E52" s="114">
        <f t="shared" si="0"/>
        <v>2466</v>
      </c>
      <c r="F52" s="23">
        <f t="shared" si="1"/>
        <v>1.9042323997498087E-2</v>
      </c>
    </row>
    <row r="53" spans="1:6" x14ac:dyDescent="0.25">
      <c r="A53" s="108">
        <v>45</v>
      </c>
      <c r="B53" s="109" t="s">
        <v>23</v>
      </c>
      <c r="C53" s="110">
        <v>9582</v>
      </c>
      <c r="D53" s="110">
        <v>1123</v>
      </c>
      <c r="E53" s="114">
        <f t="shared" si="0"/>
        <v>10705</v>
      </c>
      <c r="F53" s="23">
        <f t="shared" si="1"/>
        <v>8.2663454336259948E-2</v>
      </c>
    </row>
    <row r="54" spans="1:6" x14ac:dyDescent="0.25">
      <c r="A54" s="108">
        <v>46</v>
      </c>
      <c r="B54" s="109" t="s">
        <v>55</v>
      </c>
      <c r="C54" s="110">
        <v>0</v>
      </c>
      <c r="D54" s="110">
        <v>0</v>
      </c>
      <c r="E54" s="114">
        <f t="shared" si="0"/>
        <v>0</v>
      </c>
      <c r="F54" s="23" t="str">
        <f t="shared" si="1"/>
        <v/>
      </c>
    </row>
    <row r="55" spans="1:6" x14ac:dyDescent="0.25">
      <c r="A55" s="108">
        <v>47</v>
      </c>
      <c r="B55" s="109" t="s">
        <v>86</v>
      </c>
      <c r="C55" s="110">
        <v>1570</v>
      </c>
      <c r="D55" s="110">
        <v>293</v>
      </c>
      <c r="E55" s="114">
        <f t="shared" si="0"/>
        <v>1863</v>
      </c>
      <c r="F55" s="23">
        <f t="shared" si="1"/>
        <v>1.4385989297379944E-2</v>
      </c>
    </row>
    <row r="56" spans="1:6" x14ac:dyDescent="0.25">
      <c r="A56" s="108">
        <v>48</v>
      </c>
      <c r="B56" s="112" t="s">
        <v>48</v>
      </c>
      <c r="C56" s="110">
        <v>0</v>
      </c>
      <c r="D56" s="110">
        <v>0</v>
      </c>
      <c r="E56" s="114">
        <f t="shared" si="0"/>
        <v>0</v>
      </c>
      <c r="F56" s="23" t="str">
        <f t="shared" si="1"/>
        <v/>
      </c>
    </row>
    <row r="57" spans="1:6" x14ac:dyDescent="0.25">
      <c r="A57" s="108">
        <v>49</v>
      </c>
      <c r="B57" s="109" t="s">
        <v>54</v>
      </c>
      <c r="C57" s="110">
        <v>0</v>
      </c>
      <c r="D57" s="110">
        <v>0</v>
      </c>
      <c r="E57" s="114">
        <f t="shared" si="0"/>
        <v>0</v>
      </c>
      <c r="F57" s="23" t="str">
        <f t="shared" si="1"/>
        <v/>
      </c>
    </row>
    <row r="58" spans="1:6" x14ac:dyDescent="0.25">
      <c r="A58" s="108">
        <v>50</v>
      </c>
      <c r="B58" s="109" t="s">
        <v>57</v>
      </c>
      <c r="C58" s="110">
        <v>4716</v>
      </c>
      <c r="D58" s="110">
        <v>701</v>
      </c>
      <c r="E58" s="114">
        <f t="shared" si="0"/>
        <v>5417</v>
      </c>
      <c r="F58" s="23">
        <f t="shared" si="1"/>
        <v>4.1829792820132661E-2</v>
      </c>
    </row>
    <row r="59" spans="1:6" x14ac:dyDescent="0.25">
      <c r="A59" s="108">
        <v>51</v>
      </c>
      <c r="B59" s="109" t="s">
        <v>51</v>
      </c>
      <c r="C59" s="110">
        <v>3689</v>
      </c>
      <c r="D59" s="110">
        <v>163</v>
      </c>
      <c r="E59" s="114">
        <f t="shared" si="0"/>
        <v>3852</v>
      </c>
      <c r="F59" s="23">
        <f t="shared" si="1"/>
        <v>2.9744944054486067E-2</v>
      </c>
    </row>
    <row r="60" spans="1:6" x14ac:dyDescent="0.25">
      <c r="A60" s="108">
        <v>52</v>
      </c>
      <c r="B60" s="109" t="s">
        <v>101</v>
      </c>
      <c r="C60" s="110">
        <v>3609</v>
      </c>
      <c r="D60" s="110">
        <v>421</v>
      </c>
      <c r="E60" s="114">
        <f t="shared" si="0"/>
        <v>4030</v>
      </c>
      <c r="F60" s="23">
        <f t="shared" si="1"/>
        <v>3.111945081505162E-2</v>
      </c>
    </row>
    <row r="61" spans="1:6" x14ac:dyDescent="0.25">
      <c r="A61" s="108">
        <v>53</v>
      </c>
      <c r="B61" s="109" t="s">
        <v>83</v>
      </c>
      <c r="C61" s="110">
        <v>0</v>
      </c>
      <c r="D61" s="110">
        <v>14</v>
      </c>
      <c r="E61" s="114">
        <f t="shared" si="0"/>
        <v>14</v>
      </c>
      <c r="F61" s="23">
        <f t="shared" si="1"/>
        <v>1.0810727330290886E-4</v>
      </c>
    </row>
    <row r="62" spans="1:6" x14ac:dyDescent="0.25">
      <c r="A62" s="108">
        <v>54</v>
      </c>
      <c r="B62" s="109" t="s">
        <v>103</v>
      </c>
      <c r="C62" s="110">
        <v>4743</v>
      </c>
      <c r="D62" s="110">
        <v>173</v>
      </c>
      <c r="E62" s="114">
        <f t="shared" si="0"/>
        <v>4916</v>
      </c>
      <c r="F62" s="23">
        <f t="shared" si="1"/>
        <v>3.7961096825507142E-2</v>
      </c>
    </row>
    <row r="63" spans="1:6" x14ac:dyDescent="0.25">
      <c r="A63" s="108">
        <v>55</v>
      </c>
      <c r="B63" s="109" t="s">
        <v>115</v>
      </c>
      <c r="C63" s="110">
        <v>4388</v>
      </c>
      <c r="D63" s="110">
        <v>225</v>
      </c>
      <c r="E63" s="114">
        <f t="shared" si="0"/>
        <v>4613</v>
      </c>
      <c r="F63" s="23">
        <f t="shared" si="1"/>
        <v>3.5621346553308467E-2</v>
      </c>
    </row>
    <row r="64" spans="1:6" x14ac:dyDescent="0.25">
      <c r="A64" s="108">
        <v>56</v>
      </c>
      <c r="B64" s="109" t="s">
        <v>24</v>
      </c>
      <c r="C64" s="110">
        <v>70</v>
      </c>
      <c r="D64" s="110">
        <v>233</v>
      </c>
      <c r="E64" s="114">
        <f t="shared" si="0"/>
        <v>303</v>
      </c>
      <c r="F64" s="23">
        <f t="shared" si="1"/>
        <v>2.3397502721986701E-3</v>
      </c>
    </row>
    <row r="65" spans="1:10" x14ac:dyDescent="0.25">
      <c r="A65" s="108">
        <v>57</v>
      </c>
      <c r="B65" s="109" t="s">
        <v>80</v>
      </c>
      <c r="C65" s="110">
        <v>0</v>
      </c>
      <c r="D65" s="110">
        <v>0</v>
      </c>
      <c r="E65" s="114">
        <f t="shared" si="0"/>
        <v>0</v>
      </c>
      <c r="F65" s="23" t="str">
        <f t="shared" si="1"/>
        <v/>
      </c>
    </row>
    <row r="66" spans="1:10" x14ac:dyDescent="0.25">
      <c r="A66" s="108">
        <v>58</v>
      </c>
      <c r="B66" s="111" t="s">
        <v>47</v>
      </c>
      <c r="C66" s="110">
        <v>3872</v>
      </c>
      <c r="D66" s="110">
        <v>84</v>
      </c>
      <c r="E66" s="114">
        <f t="shared" si="0"/>
        <v>3956</v>
      </c>
      <c r="F66" s="23">
        <f t="shared" si="1"/>
        <v>3.0548026656164816E-2</v>
      </c>
    </row>
    <row r="67" spans="1:10" x14ac:dyDescent="0.25">
      <c r="A67" s="108">
        <v>59</v>
      </c>
      <c r="B67" s="111" t="s">
        <v>46</v>
      </c>
      <c r="C67" s="110">
        <v>1360</v>
      </c>
      <c r="D67" s="110">
        <v>197</v>
      </c>
      <c r="E67" s="114">
        <f t="shared" si="0"/>
        <v>1557</v>
      </c>
      <c r="F67" s="23">
        <f t="shared" si="1"/>
        <v>1.2023073180902078E-2</v>
      </c>
    </row>
    <row r="68" spans="1:10" ht="13.8" thickBot="1" x14ac:dyDescent="0.3">
      <c r="A68" s="108">
        <v>60</v>
      </c>
      <c r="B68" s="113" t="s">
        <v>79</v>
      </c>
      <c r="C68" s="110">
        <v>1635</v>
      </c>
      <c r="D68" s="110">
        <v>299</v>
      </c>
      <c r="E68" s="114">
        <f t="shared" si="0"/>
        <v>1934</v>
      </c>
      <c r="F68" s="23">
        <f t="shared" si="1"/>
        <v>1.4934247611987552E-2</v>
      </c>
    </row>
    <row r="69" spans="1:10" ht="13.8" thickTop="1" x14ac:dyDescent="0.25">
      <c r="A69" s="11"/>
      <c r="B69" s="116" t="s">
        <v>25</v>
      </c>
      <c r="C69" s="117">
        <f>SUM(C9:C68)</f>
        <v>107236</v>
      </c>
      <c r="D69" s="117">
        <f>SUM(D9:D68)</f>
        <v>22265</v>
      </c>
      <c r="E69" s="117">
        <f>SUM(E9:E68)</f>
        <v>129501</v>
      </c>
      <c r="F69" s="23">
        <f t="shared" ref="F69" si="2">IF(E69=0,"",E69/$E$69)</f>
        <v>1</v>
      </c>
    </row>
    <row r="70" spans="1:10" x14ac:dyDescent="0.25">
      <c r="A70" s="2" t="s">
        <v>29</v>
      </c>
      <c r="B70" s="18"/>
      <c r="C70" s="18"/>
      <c r="D70" s="18"/>
      <c r="E70" s="18"/>
    </row>
    <row r="71" spans="1:10" x14ac:dyDescent="0.25">
      <c r="A71" s="2" t="s">
        <v>33</v>
      </c>
      <c r="D71" s="18"/>
      <c r="E71" s="18"/>
    </row>
    <row r="72" spans="1:10" x14ac:dyDescent="0.25">
      <c r="A72" s="2" t="s">
        <v>34</v>
      </c>
      <c r="C72" s="11"/>
      <c r="D72" s="11"/>
      <c r="E72" s="11"/>
    </row>
    <row r="73" spans="1:10" x14ac:dyDescent="0.25">
      <c r="C73" s="11"/>
      <c r="D73" s="11"/>
      <c r="E73" s="11"/>
      <c r="J73" s="107"/>
    </row>
    <row r="74" spans="1:10" x14ac:dyDescent="0.25">
      <c r="B74" s="106"/>
    </row>
  </sheetData>
  <sortState ref="A8:F55">
    <sortCondition ref="B8:B55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64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opLeftCell="A16" zoomScaleNormal="100" zoomScalePageLayoutView="70" workbookViewId="0">
      <selection activeCell="B20" sqref="B20"/>
    </sheetView>
  </sheetViews>
  <sheetFormatPr defaultColWidth="9.109375" defaultRowHeight="13.2" x14ac:dyDescent="0.25"/>
  <cols>
    <col min="1" max="1" width="18.109375" style="3" customWidth="1"/>
    <col min="2" max="2" width="14.33203125" style="3" customWidth="1"/>
    <col min="3" max="3" width="11.6640625" style="3" customWidth="1"/>
    <col min="4" max="4" width="14.33203125" style="3" customWidth="1"/>
    <col min="5" max="5" width="11.6640625" style="3" customWidth="1"/>
    <col min="6" max="6" width="14.33203125" style="3" customWidth="1"/>
    <col min="7" max="7" width="11.6640625" style="3" customWidth="1"/>
    <col min="8" max="8" width="7.6640625" style="3" customWidth="1"/>
    <col min="9" max="9" width="11.6640625" style="3" customWidth="1"/>
    <col min="10" max="16384" width="9.109375" style="3"/>
  </cols>
  <sheetData>
    <row r="1" spans="1:9" s="9" customFormat="1" ht="18" customHeight="1" x14ac:dyDescent="0.25">
      <c r="A1" s="25" t="s">
        <v>0</v>
      </c>
      <c r="B1" s="26"/>
      <c r="C1" s="26"/>
      <c r="D1" s="26"/>
      <c r="E1" s="26"/>
      <c r="F1" s="26"/>
      <c r="G1" s="27"/>
      <c r="H1" s="28"/>
      <c r="I1" s="28"/>
    </row>
    <row r="2" spans="1:9" s="9" customFormat="1" ht="18" customHeight="1" x14ac:dyDescent="0.25">
      <c r="A2" s="118" t="s">
        <v>104</v>
      </c>
      <c r="B2" s="118"/>
      <c r="C2" s="118"/>
      <c r="D2" s="118"/>
      <c r="E2" s="118"/>
      <c r="F2" s="118"/>
      <c r="G2" s="118"/>
      <c r="H2" s="118"/>
      <c r="I2" s="28"/>
    </row>
    <row r="3" spans="1:9" s="9" customFormat="1" ht="18" customHeight="1" x14ac:dyDescent="0.25">
      <c r="A3" s="25" t="s">
        <v>75</v>
      </c>
      <c r="B3" s="26"/>
      <c r="C3" s="26"/>
      <c r="D3" s="26"/>
      <c r="E3" s="26"/>
      <c r="F3" s="26"/>
      <c r="G3" s="27"/>
      <c r="H3" s="28"/>
      <c r="I3" s="28"/>
    </row>
    <row r="4" spans="1:9" s="9" customFormat="1" ht="18" customHeight="1" x14ac:dyDescent="0.25">
      <c r="A4" s="25" t="s">
        <v>74</v>
      </c>
      <c r="B4" s="26"/>
      <c r="C4" s="26"/>
      <c r="D4" s="26"/>
      <c r="E4" s="26"/>
      <c r="F4" s="26"/>
      <c r="G4" s="27"/>
      <c r="H4" s="28"/>
      <c r="I4" s="28"/>
    </row>
    <row r="5" spans="1:9" s="9" customFormat="1" ht="18" customHeight="1" x14ac:dyDescent="0.25">
      <c r="A5" s="29" t="s">
        <v>2</v>
      </c>
      <c r="B5" s="28"/>
      <c r="C5" s="28"/>
      <c r="D5" s="28"/>
      <c r="E5" s="28"/>
      <c r="F5" s="28"/>
      <c r="G5" s="28"/>
      <c r="H5" s="28"/>
      <c r="I5" s="28"/>
    </row>
    <row r="6" spans="1:9" s="9" customFormat="1" ht="18" customHeight="1" x14ac:dyDescent="0.25">
      <c r="A6" s="10" t="str">
        <f>'Summary Load Customers '!A6</f>
        <v>Data as of March 31, 2017</v>
      </c>
      <c r="B6" s="28"/>
      <c r="C6" s="28"/>
      <c r="D6" s="73"/>
      <c r="E6" s="73"/>
      <c r="F6" s="73"/>
      <c r="G6" s="28"/>
      <c r="H6" s="28"/>
      <c r="I6" s="28"/>
    </row>
    <row r="7" spans="1:9" ht="18" customHeight="1" x14ac:dyDescent="0.25">
      <c r="B7" s="30"/>
      <c r="C7" s="30"/>
      <c r="D7" s="61"/>
      <c r="E7" s="61"/>
      <c r="F7" s="62"/>
      <c r="G7" s="62"/>
      <c r="H7" s="30"/>
    </row>
    <row r="8" spans="1:9" ht="18" customHeight="1" x14ac:dyDescent="0.3">
      <c r="A8" s="63" t="s">
        <v>68</v>
      </c>
      <c r="B8" s="64"/>
      <c r="C8" s="64"/>
      <c r="D8" s="65"/>
      <c r="E8" s="65"/>
      <c r="F8" s="66"/>
      <c r="G8" s="66"/>
      <c r="H8" s="64"/>
      <c r="I8" s="67"/>
    </row>
    <row r="9" spans="1:9" ht="18" customHeight="1" x14ac:dyDescent="0.4">
      <c r="B9" s="30"/>
      <c r="C9" s="30"/>
      <c r="D9" s="61"/>
      <c r="E9" s="61"/>
      <c r="F9" s="68"/>
      <c r="G9" s="68"/>
      <c r="H9" s="30"/>
    </row>
    <row r="10" spans="1:9" ht="18" customHeight="1" x14ac:dyDescent="0.25">
      <c r="A10" s="31" t="s">
        <v>98</v>
      </c>
      <c r="B10" s="32"/>
      <c r="C10" s="32"/>
      <c r="D10" s="32"/>
      <c r="E10" s="32"/>
      <c r="F10" s="32"/>
      <c r="G10" s="53"/>
      <c r="H10" s="27"/>
      <c r="I10" s="28"/>
    </row>
    <row r="11" spans="1:9" ht="18" customHeight="1" x14ac:dyDescent="0.25">
      <c r="A11" s="42"/>
      <c r="B11" s="34" t="s">
        <v>5</v>
      </c>
      <c r="C11" s="54"/>
      <c r="D11" s="34" t="s">
        <v>37</v>
      </c>
      <c r="E11" s="55"/>
      <c r="F11" s="34" t="s">
        <v>44</v>
      </c>
      <c r="G11" s="36"/>
    </row>
    <row r="12" spans="1:9" ht="18" customHeight="1" x14ac:dyDescent="0.25">
      <c r="A12" s="39"/>
      <c r="B12" s="40" t="s">
        <v>22</v>
      </c>
      <c r="C12" s="41" t="s">
        <v>31</v>
      </c>
      <c r="D12" s="40" t="str">
        <f>B12</f>
        <v>Customers</v>
      </c>
      <c r="E12" s="41" t="s">
        <v>31</v>
      </c>
      <c r="F12" s="40" t="str">
        <f>B12</f>
        <v>Customers</v>
      </c>
      <c r="G12" s="41" t="s">
        <v>30</v>
      </c>
    </row>
    <row r="13" spans="1:9" ht="18" customHeight="1" x14ac:dyDescent="0.25">
      <c r="A13" s="42" t="s">
        <v>70</v>
      </c>
      <c r="B13" s="45">
        <f>REC_programs_detail!B23</f>
        <v>4030</v>
      </c>
      <c r="C13" s="46">
        <f>IF(B13=0,0,B13/'Summary Load Customers '!$B$22)</f>
        <v>1.3412142148738327E-2</v>
      </c>
      <c r="D13" s="45">
        <f>REC_programs_detail!C23</f>
        <v>42</v>
      </c>
      <c r="E13" s="46">
        <f>IF(D13=0,0,D13/('Summary Load Customers '!$D$22+'Summary Load Customers '!$F$22))</f>
        <v>1.0752137627361631E-3</v>
      </c>
      <c r="F13" s="45">
        <f>B13+D13</f>
        <v>4072</v>
      </c>
      <c r="G13" s="46">
        <f>IF(F13=0,0,F13/'Summary Load Customers '!$H$22)</f>
        <v>1.1992837283822628E-2</v>
      </c>
    </row>
    <row r="14" spans="1:9" ht="15.75" customHeight="1" x14ac:dyDescent="0.25">
      <c r="G14" s="52"/>
      <c r="H14" s="30"/>
    </row>
    <row r="15" spans="1:9" ht="15.75" customHeight="1" x14ac:dyDescent="0.25">
      <c r="A15" s="102" t="str">
        <f>"As the above table shows, "&amp;TEXT(F13,"0,000")&amp;" of UI's customers, or "&amp;TEXT(G13,"0.0%")&amp;" are participating in the CTCleanEnergyOptions Program."</f>
        <v>As the above table shows, 4,072 of UI's customers, or 1.2% are participating in the CTCleanEnergyOptions Program.</v>
      </c>
      <c r="G15" s="52"/>
      <c r="H15" s="30"/>
    </row>
    <row r="16" spans="1:9" ht="15.75" customHeight="1" x14ac:dyDescent="0.25">
      <c r="G16" s="52"/>
      <c r="H16" s="30"/>
    </row>
    <row r="17" spans="1:9" ht="18" customHeight="1" x14ac:dyDescent="0.25">
      <c r="A17" s="31" t="s">
        <v>69</v>
      </c>
      <c r="B17" s="32"/>
      <c r="C17" s="32"/>
      <c r="D17" s="32"/>
      <c r="E17" s="32"/>
      <c r="F17" s="32"/>
      <c r="G17" s="53"/>
      <c r="H17" s="27"/>
      <c r="I17" s="28"/>
    </row>
    <row r="18" spans="1:9" ht="18" customHeight="1" x14ac:dyDescent="0.25">
      <c r="A18" s="42"/>
      <c r="B18" s="34" t="s">
        <v>5</v>
      </c>
      <c r="C18" s="54"/>
      <c r="D18" s="34" t="s">
        <v>37</v>
      </c>
      <c r="E18" s="55"/>
      <c r="F18" s="34" t="s">
        <v>44</v>
      </c>
      <c r="G18" s="36"/>
    </row>
    <row r="19" spans="1:9" ht="18" customHeight="1" x14ac:dyDescent="0.25">
      <c r="A19" s="39"/>
      <c r="B19" s="40" t="s">
        <v>22</v>
      </c>
      <c r="C19" s="41" t="s">
        <v>31</v>
      </c>
      <c r="D19" s="40" t="str">
        <f>B19</f>
        <v>Customers</v>
      </c>
      <c r="E19" s="41" t="s">
        <v>31</v>
      </c>
      <c r="F19" s="40" t="str">
        <f>B19</f>
        <v>Customers</v>
      </c>
      <c r="G19" s="41" t="s">
        <v>30</v>
      </c>
    </row>
    <row r="20" spans="1:9" ht="18" customHeight="1" x14ac:dyDescent="0.25">
      <c r="A20" s="42" t="s">
        <v>71</v>
      </c>
      <c r="B20" s="45">
        <f>REC_programs_detail!B29</f>
        <v>725</v>
      </c>
      <c r="C20" s="46">
        <f>IF(B20=0,0,B20/'Summary Load Customers '!$B$22)</f>
        <v>2.4128543567829494E-3</v>
      </c>
      <c r="D20" s="45">
        <f>REC_programs_detail!C29</f>
        <v>61</v>
      </c>
      <c r="E20" s="46">
        <f>IF(D20=0,0,D20/('Summary Load Customers '!$D$22+'Summary Load Customers '!$F$22))</f>
        <v>1.5616199887358558E-3</v>
      </c>
      <c r="F20" s="45">
        <f>B20+D20</f>
        <v>786</v>
      </c>
      <c r="G20" s="46">
        <f>IF(F20=0,0,F20/'Summary Load Customers '!$H$22)</f>
        <v>2.3149238961406153E-3</v>
      </c>
    </row>
    <row r="21" spans="1:9" ht="18" customHeight="1" x14ac:dyDescent="0.25">
      <c r="B21" s="51"/>
      <c r="C21" s="50"/>
      <c r="D21" s="51"/>
      <c r="E21" s="50"/>
      <c r="F21" s="51"/>
      <c r="G21" s="50"/>
      <c r="H21" s="51"/>
      <c r="I21" s="50"/>
    </row>
    <row r="22" spans="1:9" ht="18" customHeight="1" x14ac:dyDescent="0.25">
      <c r="A22" s="102" t="str">
        <f>"As the above table shows, "&amp;TEXT(F20,"0,000")&amp;" of UI's customers, or "&amp;TEXT(G20,"0.0%")&amp;" are participating in the REC only program."</f>
        <v>As the above table shows, 0,786 of UI's customers, or 0.2% are participating in the REC only program.</v>
      </c>
      <c r="B22" s="51"/>
      <c r="C22" s="50"/>
      <c r="D22" s="51"/>
      <c r="E22" s="50"/>
      <c r="F22" s="51"/>
      <c r="G22" s="50"/>
      <c r="H22" s="51"/>
      <c r="I22" s="50"/>
    </row>
    <row r="23" spans="1:9" ht="13.8" x14ac:dyDescent="0.25">
      <c r="A23" s="48"/>
    </row>
    <row r="24" spans="1:9" ht="13.8" x14ac:dyDescent="0.25">
      <c r="A24" s="31" t="s">
        <v>73</v>
      </c>
      <c r="B24" s="32"/>
      <c r="C24" s="32"/>
      <c r="D24" s="32"/>
      <c r="E24" s="32"/>
      <c r="F24" s="32"/>
      <c r="G24" s="53"/>
      <c r="H24" s="27"/>
      <c r="I24" s="28"/>
    </row>
    <row r="25" spans="1:9" ht="13.8" x14ac:dyDescent="0.25">
      <c r="A25" s="42"/>
      <c r="B25" s="34" t="s">
        <v>5</v>
      </c>
      <c r="C25" s="54"/>
      <c r="D25" s="34" t="s">
        <v>37</v>
      </c>
      <c r="E25" s="55"/>
      <c r="F25" s="34" t="s">
        <v>44</v>
      </c>
      <c r="G25" s="36"/>
    </row>
    <row r="26" spans="1:9" ht="13.8" x14ac:dyDescent="0.25">
      <c r="A26" s="39"/>
      <c r="B26" s="40" t="s">
        <v>22</v>
      </c>
      <c r="C26" s="41" t="s">
        <v>31</v>
      </c>
      <c r="D26" s="40" t="str">
        <f>B26</f>
        <v>Customers</v>
      </c>
      <c r="E26" s="41" t="s">
        <v>31</v>
      </c>
      <c r="F26" s="40" t="str">
        <f>B26</f>
        <v>Customers</v>
      </c>
      <c r="G26" s="41" t="s">
        <v>30</v>
      </c>
    </row>
    <row r="27" spans="1:9" ht="13.8" x14ac:dyDescent="0.25">
      <c r="A27" s="42" t="s">
        <v>72</v>
      </c>
      <c r="B27" s="45">
        <f>B13+B20</f>
        <v>4755</v>
      </c>
      <c r="C27" s="46">
        <f>IF(B27=0,0,B27/'Summary Load Customers '!$B$22)</f>
        <v>1.5824996505521275E-2</v>
      </c>
      <c r="D27" s="45">
        <f>D13+D20</f>
        <v>103</v>
      </c>
      <c r="E27" s="46">
        <f>IF(D27=0,0,D27/('Summary Load Customers '!$D$22+'Summary Load Customers '!$F$22))</f>
        <v>2.636833751472019E-3</v>
      </c>
      <c r="F27" s="45">
        <f>B27+D27</f>
        <v>4858</v>
      </c>
      <c r="G27" s="46">
        <f>IF(F27=0,0,F27/'Summary Load Customers '!$H$22)</f>
        <v>1.4307761179963244E-2</v>
      </c>
    </row>
    <row r="28" spans="1:9" ht="13.8" x14ac:dyDescent="0.25">
      <c r="G28" s="52"/>
      <c r="H28" s="30"/>
    </row>
    <row r="29" spans="1:9" ht="13.8" x14ac:dyDescent="0.25">
      <c r="A29" s="102" t="str">
        <f>"As the above table shows, "&amp;TEXT(F27,"0,000")&amp;" of UI's customers, or "&amp;TEXT(G27,"0.0%")&amp;" are participating in the combined REC programs."</f>
        <v>As the above table shows, 4,858 of UI's customers, or 1.4% are participating in the combined REC programs.</v>
      </c>
      <c r="G29" s="52"/>
      <c r="H29" s="30"/>
    </row>
    <row r="31" spans="1:9" ht="13.8" x14ac:dyDescent="0.25">
      <c r="A31" s="69" t="s">
        <v>43</v>
      </c>
    </row>
    <row r="32" spans="1:9" ht="13.8" x14ac:dyDescent="0.25">
      <c r="A32" s="69"/>
    </row>
    <row r="33" spans="1:1" ht="13.8" x14ac:dyDescent="0.25">
      <c r="A33" s="69" t="s">
        <v>99</v>
      </c>
    </row>
    <row r="34" spans="1:1" x14ac:dyDescent="0.25">
      <c r="A34" s="70" t="s">
        <v>95</v>
      </c>
    </row>
    <row r="36" spans="1:1" x14ac:dyDescent="0.25">
      <c r="A36" s="70" t="s">
        <v>29</v>
      </c>
    </row>
  </sheetData>
  <mergeCells count="1">
    <mergeCell ref="A2:H2"/>
  </mergeCells>
  <phoneticPr fontId="11" type="noConversion"/>
  <printOptions horizontalCentered="1"/>
  <pageMargins left="0.75" right="0.5" top="1.5" bottom="1" header="0.5" footer="0.5"/>
  <pageSetup scale="89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Zeros="0" topLeftCell="A4" zoomScale="110" zoomScaleNormal="110" workbookViewId="0">
      <selection activeCell="B16" sqref="B16"/>
    </sheetView>
  </sheetViews>
  <sheetFormatPr defaultColWidth="9.109375" defaultRowHeight="10.199999999999999" x14ac:dyDescent="0.2"/>
  <cols>
    <col min="1" max="1" width="28" style="77" customWidth="1"/>
    <col min="2" max="3" width="19.109375" style="77" customWidth="1"/>
    <col min="4" max="4" width="20.33203125" style="77" customWidth="1"/>
    <col min="5" max="5" width="7.109375" style="77" customWidth="1"/>
    <col min="6" max="6" width="23.33203125" style="77" bestFit="1" customWidth="1"/>
    <col min="7" max="7" width="10.44140625" style="77" customWidth="1"/>
    <col min="8" max="16384" width="9.109375" style="77"/>
  </cols>
  <sheetData>
    <row r="1" spans="1:9" s="76" customFormat="1" ht="15" customHeight="1" x14ac:dyDescent="0.25">
      <c r="A1" s="119" t="str">
        <f>'Summary Load Customers '!A1</f>
        <v>The United Illuminating Company</v>
      </c>
      <c r="B1" s="119"/>
      <c r="C1" s="119"/>
      <c r="D1" s="119"/>
      <c r="E1" s="74"/>
      <c r="F1" s="74"/>
      <c r="G1" s="75"/>
    </row>
    <row r="2" spans="1:9" s="9" customFormat="1" ht="18" customHeight="1" x14ac:dyDescent="0.25">
      <c r="A2" s="120" t="s">
        <v>104</v>
      </c>
      <c r="B2" s="120"/>
      <c r="C2" s="120"/>
      <c r="D2" s="120"/>
      <c r="E2" s="26"/>
      <c r="F2" s="26"/>
      <c r="G2" s="27"/>
      <c r="H2" s="28"/>
      <c r="I2" s="28"/>
    </row>
    <row r="3" spans="1:9" s="76" customFormat="1" ht="15" customHeight="1" x14ac:dyDescent="0.25">
      <c r="A3" s="119" t="s">
        <v>61</v>
      </c>
      <c r="B3" s="119"/>
      <c r="C3" s="119"/>
      <c r="D3" s="119"/>
      <c r="E3" s="74"/>
      <c r="F3" s="74"/>
      <c r="G3" s="75"/>
    </row>
    <row r="4" spans="1:9" s="76" customFormat="1" ht="15" customHeight="1" x14ac:dyDescent="0.25">
      <c r="A4" s="119" t="s">
        <v>2</v>
      </c>
      <c r="B4" s="119"/>
      <c r="C4" s="119"/>
      <c r="D4" s="119"/>
      <c r="E4" s="74"/>
      <c r="F4" s="74"/>
      <c r="G4" s="75"/>
    </row>
    <row r="5" spans="1:9" s="76" customFormat="1" ht="15" customHeight="1" x14ac:dyDescent="0.25">
      <c r="A5" s="119" t="str">
        <f>'Summary Load Customers '!A6</f>
        <v>Data as of March 31, 2017</v>
      </c>
      <c r="B5" s="119"/>
      <c r="C5" s="119"/>
      <c r="D5" s="119"/>
      <c r="E5" s="74"/>
      <c r="F5" s="74"/>
      <c r="G5" s="75"/>
    </row>
    <row r="6" spans="1:9" x14ac:dyDescent="0.2">
      <c r="C6" s="78"/>
      <c r="D6" s="78"/>
      <c r="E6" s="78"/>
      <c r="F6" s="78"/>
      <c r="G6" s="78"/>
    </row>
    <row r="7" spans="1:9" s="84" customFormat="1" ht="20.399999999999999" x14ac:dyDescent="0.2">
      <c r="A7" s="79" t="s">
        <v>63</v>
      </c>
      <c r="B7" s="80" t="s">
        <v>5</v>
      </c>
      <c r="C7" s="79" t="s">
        <v>6</v>
      </c>
      <c r="D7" s="79" t="s">
        <v>44</v>
      </c>
      <c r="E7" s="81"/>
      <c r="F7" s="81"/>
      <c r="G7" s="82"/>
      <c r="H7" s="83"/>
    </row>
    <row r="8" spans="1:9" x14ac:dyDescent="0.2">
      <c r="A8" s="85" t="s">
        <v>62</v>
      </c>
      <c r="B8" s="86"/>
      <c r="C8" s="87"/>
      <c r="D8" s="88">
        <f>IF(C8=0,0,C8)</f>
        <v>0</v>
      </c>
      <c r="E8" s="78"/>
      <c r="F8" s="78"/>
      <c r="G8" s="89"/>
      <c r="H8" s="78"/>
    </row>
    <row r="9" spans="1:9" x14ac:dyDescent="0.2">
      <c r="A9" s="85" t="s">
        <v>26</v>
      </c>
      <c r="B9" s="87">
        <v>144</v>
      </c>
      <c r="C9" s="87">
        <v>2</v>
      </c>
      <c r="D9" s="88">
        <f>SUM(B9:C9)</f>
        <v>146</v>
      </c>
      <c r="E9" s="90"/>
      <c r="F9" s="90"/>
      <c r="G9" s="89"/>
      <c r="H9" s="78"/>
    </row>
    <row r="10" spans="1:9" x14ac:dyDescent="0.2">
      <c r="A10" s="85" t="s">
        <v>27</v>
      </c>
      <c r="B10" s="87">
        <v>3299</v>
      </c>
      <c r="C10" s="87">
        <v>38</v>
      </c>
      <c r="D10" s="88">
        <f>SUM(B10:C10)</f>
        <v>3337</v>
      </c>
      <c r="E10" s="91"/>
      <c r="F10" s="92"/>
      <c r="G10" s="89"/>
      <c r="H10" s="78"/>
    </row>
    <row r="11" spans="1:9" x14ac:dyDescent="0.2">
      <c r="A11" s="93" t="s">
        <v>7</v>
      </c>
      <c r="B11" s="94">
        <f>IF(B9+B10=0,0,B9+B10)</f>
        <v>3443</v>
      </c>
      <c r="C11" s="94">
        <f>IF(SUM(C8:C10)=0,0,SUM(C8:C10))</f>
        <v>40</v>
      </c>
      <c r="D11" s="94">
        <f>IF(SUM(D8:D10)=0,0,SUM(D8:D10))</f>
        <v>3483</v>
      </c>
      <c r="E11" s="91"/>
      <c r="F11" s="92"/>
      <c r="G11" s="89"/>
      <c r="H11" s="78"/>
    </row>
    <row r="12" spans="1:9" x14ac:dyDescent="0.2">
      <c r="A12" s="78"/>
      <c r="B12" s="95"/>
      <c r="C12" s="95"/>
      <c r="D12" s="95"/>
      <c r="E12" s="91"/>
      <c r="F12" s="92"/>
      <c r="G12" s="96"/>
      <c r="H12" s="78"/>
    </row>
    <row r="13" spans="1:9" ht="20.399999999999999" x14ac:dyDescent="0.2">
      <c r="A13" s="79" t="s">
        <v>66</v>
      </c>
      <c r="B13" s="79" t="s">
        <v>5</v>
      </c>
      <c r="C13" s="79" t="str">
        <f>C7</f>
        <v>Business</v>
      </c>
      <c r="D13" s="79" t="s">
        <v>44</v>
      </c>
      <c r="E13" s="97"/>
      <c r="F13" s="98"/>
      <c r="G13" s="96"/>
      <c r="H13" s="78"/>
    </row>
    <row r="14" spans="1:9" x14ac:dyDescent="0.2">
      <c r="A14" s="85" t="s">
        <v>62</v>
      </c>
      <c r="B14" s="86"/>
      <c r="C14" s="87"/>
      <c r="D14" s="88">
        <f>IF(C14=0,0,C14)</f>
        <v>0</v>
      </c>
      <c r="E14" s="78"/>
      <c r="F14" s="78"/>
      <c r="G14" s="96"/>
      <c r="H14" s="78"/>
    </row>
    <row r="15" spans="1:9" x14ac:dyDescent="0.2">
      <c r="A15" s="85" t="s">
        <v>26</v>
      </c>
      <c r="B15" s="87">
        <v>3</v>
      </c>
      <c r="C15" s="87">
        <v>0</v>
      </c>
      <c r="D15" s="88">
        <f>SUM(B15:C15)</f>
        <v>3</v>
      </c>
      <c r="E15" s="90"/>
      <c r="F15" s="90"/>
      <c r="G15" s="89"/>
      <c r="H15" s="78"/>
    </row>
    <row r="16" spans="1:9" x14ac:dyDescent="0.2">
      <c r="A16" s="85" t="s">
        <v>27</v>
      </c>
      <c r="B16" s="87">
        <v>584</v>
      </c>
      <c r="C16" s="87">
        <v>2</v>
      </c>
      <c r="D16" s="88">
        <f>SUM(B16:C16)</f>
        <v>586</v>
      </c>
      <c r="E16" s="91"/>
      <c r="F16" s="92"/>
      <c r="G16" s="89"/>
      <c r="H16" s="78"/>
    </row>
    <row r="17" spans="1:8" x14ac:dyDescent="0.2">
      <c r="A17" s="93" t="str">
        <f>A11</f>
        <v>Total</v>
      </c>
      <c r="B17" s="94">
        <f>IF(B15+B16=0,0,B15+B16)</f>
        <v>587</v>
      </c>
      <c r="C17" s="94">
        <f>IF(SUM(C14:C16)=0,0,SUM(C14:C16))</f>
        <v>2</v>
      </c>
      <c r="D17" s="94">
        <f>IF(SUM(D14:D16)=0,0,SUM(D14:D16))</f>
        <v>589</v>
      </c>
      <c r="E17" s="91"/>
      <c r="F17" s="92"/>
      <c r="G17" s="89"/>
      <c r="H17" s="78"/>
    </row>
    <row r="18" spans="1:8" x14ac:dyDescent="0.2">
      <c r="A18" s="78"/>
      <c r="B18" s="78"/>
      <c r="C18" s="78"/>
      <c r="D18" s="78"/>
      <c r="E18" s="91"/>
      <c r="F18" s="92"/>
      <c r="G18" s="96"/>
      <c r="H18" s="78"/>
    </row>
    <row r="19" spans="1:8" ht="20.399999999999999" x14ac:dyDescent="0.2">
      <c r="A19" s="79" t="s">
        <v>67</v>
      </c>
      <c r="B19" s="79" t="s">
        <v>5</v>
      </c>
      <c r="C19" s="79" t="str">
        <f>C7</f>
        <v>Business</v>
      </c>
      <c r="D19" s="79" t="s">
        <v>44</v>
      </c>
      <c r="E19" s="97"/>
      <c r="F19" s="98"/>
      <c r="G19" s="96"/>
      <c r="H19" s="78"/>
    </row>
    <row r="20" spans="1:8" x14ac:dyDescent="0.2">
      <c r="A20" s="85" t="s">
        <v>62</v>
      </c>
      <c r="B20" s="86"/>
      <c r="C20" s="99">
        <f t="shared" ref="C20:D21" si="0">IF(C8+C14=0,0,C8+C14)</f>
        <v>0</v>
      </c>
      <c r="D20" s="88"/>
      <c r="E20" s="96"/>
      <c r="F20" s="96"/>
      <c r="G20" s="96"/>
      <c r="H20" s="78"/>
    </row>
    <row r="21" spans="1:8" x14ac:dyDescent="0.2">
      <c r="A21" s="85" t="s">
        <v>26</v>
      </c>
      <c r="B21" s="99">
        <f>IF(B9+B15=0,0,B9+B15)</f>
        <v>147</v>
      </c>
      <c r="C21" s="99">
        <f>IF(C9+C15=0,0,C9+C15)</f>
        <v>2</v>
      </c>
      <c r="D21" s="88">
        <f t="shared" si="0"/>
        <v>149</v>
      </c>
      <c r="E21" s="89"/>
      <c r="F21" s="96"/>
      <c r="G21" s="96"/>
      <c r="H21" s="78"/>
    </row>
    <row r="22" spans="1:8" x14ac:dyDescent="0.2">
      <c r="A22" s="85" t="s">
        <v>27</v>
      </c>
      <c r="B22" s="99">
        <f>IF(B10+B16=0,0,B10+B16)</f>
        <v>3883</v>
      </c>
      <c r="C22" s="99">
        <f>IF(C10+C16=0,0,C10+C16)</f>
        <v>40</v>
      </c>
      <c r="D22" s="88">
        <f>IF(D10+D16=0,0,D10+D16)</f>
        <v>3923</v>
      </c>
      <c r="E22" s="78"/>
      <c r="F22" s="96"/>
      <c r="G22" s="96"/>
      <c r="H22" s="78"/>
    </row>
    <row r="23" spans="1:8" x14ac:dyDescent="0.2">
      <c r="A23" s="93" t="str">
        <f>A11</f>
        <v>Total</v>
      </c>
      <c r="B23" s="94">
        <f>IF(B21+B22=0,0,B21+B22)</f>
        <v>4030</v>
      </c>
      <c r="C23" s="94">
        <f>IF(SUM(C20:C22)=0,0,SUM(C20:C22))</f>
        <v>42</v>
      </c>
      <c r="D23" s="94">
        <f>SUM(D20:D22)</f>
        <v>4072</v>
      </c>
      <c r="E23" s="78"/>
      <c r="F23" s="96"/>
      <c r="G23" s="96"/>
      <c r="H23" s="78"/>
    </row>
    <row r="24" spans="1:8" x14ac:dyDescent="0.2">
      <c r="B24" s="78"/>
      <c r="C24" s="78"/>
      <c r="E24" s="78"/>
      <c r="F24" s="96"/>
      <c r="G24" s="96"/>
      <c r="H24" s="78"/>
    </row>
    <row r="25" spans="1:8" ht="20.399999999999999" x14ac:dyDescent="0.2">
      <c r="A25" s="79" t="s">
        <v>64</v>
      </c>
      <c r="B25" s="79" t="s">
        <v>5</v>
      </c>
      <c r="C25" s="79" t="s">
        <v>6</v>
      </c>
      <c r="D25" s="79" t="s">
        <v>44</v>
      </c>
    </row>
    <row r="26" spans="1:8" x14ac:dyDescent="0.2">
      <c r="A26" s="85" t="s">
        <v>62</v>
      </c>
      <c r="B26" s="86"/>
      <c r="C26" s="99">
        <f>IF(C14+C20=0,0,C14+C20)</f>
        <v>0</v>
      </c>
      <c r="D26" s="88">
        <f>IF(C26=0,0,C26)</f>
        <v>0</v>
      </c>
    </row>
    <row r="27" spans="1:8" x14ac:dyDescent="0.2">
      <c r="A27" s="85" t="s">
        <v>26</v>
      </c>
      <c r="B27" s="87">
        <v>202</v>
      </c>
      <c r="C27" s="87">
        <v>11</v>
      </c>
      <c r="D27" s="88">
        <f>SUM(B27:C27)</f>
        <v>213</v>
      </c>
    </row>
    <row r="28" spans="1:8" x14ac:dyDescent="0.2">
      <c r="A28" s="85" t="s">
        <v>27</v>
      </c>
      <c r="B28" s="87">
        <v>523</v>
      </c>
      <c r="C28" s="87">
        <v>50</v>
      </c>
      <c r="D28" s="88">
        <f>SUM(B28:C28)</f>
        <v>573</v>
      </c>
    </row>
    <row r="29" spans="1:8" x14ac:dyDescent="0.2">
      <c r="A29" s="93" t="str">
        <f>A23</f>
        <v>Total</v>
      </c>
      <c r="B29" s="94">
        <f>IF(B27+B28=0,0,B27+B28)</f>
        <v>725</v>
      </c>
      <c r="C29" s="94">
        <f>IF(SUM(C26:C28)=0,0,SUM(C26:C28))</f>
        <v>61</v>
      </c>
      <c r="D29" s="94">
        <f>IF(SUM(D26:D28)=0,0,SUM(D26:D28))</f>
        <v>786</v>
      </c>
    </row>
    <row r="31" spans="1:8" x14ac:dyDescent="0.2">
      <c r="A31" s="79" t="s">
        <v>65</v>
      </c>
      <c r="B31" s="79" t="s">
        <v>5</v>
      </c>
      <c r="C31" s="79" t="str">
        <f>C19</f>
        <v>Business</v>
      </c>
      <c r="D31" s="79" t="s">
        <v>44</v>
      </c>
    </row>
    <row r="32" spans="1:8" x14ac:dyDescent="0.2">
      <c r="A32" s="85" t="s">
        <v>62</v>
      </c>
      <c r="B32" s="86"/>
      <c r="C32" s="99">
        <f t="shared" ref="C32:D34" si="1">C20+C26</f>
        <v>0</v>
      </c>
      <c r="D32" s="88">
        <f t="shared" si="1"/>
        <v>0</v>
      </c>
    </row>
    <row r="33" spans="1:7" x14ac:dyDescent="0.2">
      <c r="A33" s="85" t="s">
        <v>26</v>
      </c>
      <c r="B33" s="99">
        <f>B21+B27</f>
        <v>349</v>
      </c>
      <c r="C33" s="99">
        <f t="shared" si="1"/>
        <v>13</v>
      </c>
      <c r="D33" s="88">
        <f t="shared" si="1"/>
        <v>362</v>
      </c>
      <c r="E33" s="78"/>
      <c r="F33" s="78"/>
      <c r="G33" s="78"/>
    </row>
    <row r="34" spans="1:7" x14ac:dyDescent="0.2">
      <c r="A34" s="85" t="s">
        <v>27</v>
      </c>
      <c r="B34" s="99">
        <f>B22+B28</f>
        <v>4406</v>
      </c>
      <c r="C34" s="99">
        <f t="shared" si="1"/>
        <v>90</v>
      </c>
      <c r="D34" s="88">
        <f t="shared" si="1"/>
        <v>4496</v>
      </c>
    </row>
    <row r="35" spans="1:7" x14ac:dyDescent="0.2">
      <c r="A35" s="93" t="str">
        <f>A29</f>
        <v>Total</v>
      </c>
      <c r="B35" s="94">
        <f>IF(B33+B34=0,0,B33+B34)</f>
        <v>4755</v>
      </c>
      <c r="C35" s="94">
        <f>IF(SUM(C32:C34)=0,0,SUM(C32:C34))</f>
        <v>103</v>
      </c>
      <c r="D35" s="94">
        <f>SUM(D32:D34)</f>
        <v>4858</v>
      </c>
    </row>
    <row r="37" spans="1:7" x14ac:dyDescent="0.2">
      <c r="A37" s="100" t="str">
        <f>"In summary, "&amp;TEXT($D$23,"0,000")&amp; " of UI's customers are participating in the CTCleanEnergyOptions Program"</f>
        <v>In summary, 4,072 of UI's customers are participating in the CTCleanEnergyOptions Program</v>
      </c>
    </row>
    <row r="38" spans="1:7" x14ac:dyDescent="0.2">
      <c r="A38" s="100" t="str">
        <f>"In summary, "&amp;TEXT($D$29,"000")&amp; " of UI's customers are participating in RECs only with Sterling Planet"</f>
        <v>In summary, 786 of UI's customers are participating in RECs only with Sterling Planet</v>
      </c>
    </row>
    <row r="39" spans="1:7" x14ac:dyDescent="0.2">
      <c r="A39" s="100" t="str">
        <f>"In summary, "&amp;TEXT($D$35,"0,000")&amp; " of UI's customers are participating in all REC programs"</f>
        <v>In summary, 4,858 of UI's customers are participating in all REC programs</v>
      </c>
    </row>
    <row r="41" spans="1:7" x14ac:dyDescent="0.2">
      <c r="A41" s="101" t="s">
        <v>32</v>
      </c>
    </row>
    <row r="42" spans="1:7" x14ac:dyDescent="0.2">
      <c r="A42" s="78" t="s">
        <v>28</v>
      </c>
    </row>
  </sheetData>
  <mergeCells count="5">
    <mergeCell ref="A1:D1"/>
    <mergeCell ref="A3:D3"/>
    <mergeCell ref="A5:D5"/>
    <mergeCell ref="A4:D4"/>
    <mergeCell ref="A2:D2"/>
  </mergeCells>
  <phoneticPr fontId="11" type="noConversion"/>
  <printOptions horizontalCentered="1"/>
  <pageMargins left="0.75" right="0.5" top="1.75" bottom="0.5" header="0.5" footer="0"/>
  <pageSetup orientation="portrait" r:id="rId1"/>
  <headerFooter alignWithMargins="0">
    <oddHeader xml:space="preserve">&amp;RPage 4 of 4
</oddHeader>
  </headerFooter>
  <ignoredErrors>
    <ignoredError sqref="C20 C26 C32 C33:C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Katerina Miller</cp:lastModifiedBy>
  <cp:lastPrinted>2017-02-17T16:26:50Z</cp:lastPrinted>
  <dcterms:created xsi:type="dcterms:W3CDTF">2009-03-17T13:14:28Z</dcterms:created>
  <dcterms:modified xsi:type="dcterms:W3CDTF">2017-04-18T19:18:35Z</dcterms:modified>
</cp:coreProperties>
</file>