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15" yWindow="4530" windowWidth="20190" windowHeight="4590" tabRatio="838" activeTab="2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12" i="7" l="1"/>
  <c r="F11" i="7"/>
  <c r="D12" i="7"/>
  <c r="D11" i="7"/>
  <c r="B12" i="7"/>
  <c r="B11" i="7"/>
  <c r="F21" i="7"/>
  <c r="F20" i="7"/>
  <c r="D21" i="7"/>
  <c r="D20" i="7"/>
  <c r="B20" i="7"/>
  <c r="B21" i="7"/>
  <c r="C11" i="5" l="1"/>
  <c r="A5" i="6" l="1"/>
  <c r="E69" i="6"/>
  <c r="C69" i="6"/>
  <c r="D69" i="6"/>
  <c r="F14" i="6" l="1"/>
  <c r="F20" i="6"/>
  <c r="F29" i="6"/>
  <c r="F32" i="6"/>
  <c r="F35" i="6"/>
  <c r="F36" i="6"/>
  <c r="F37" i="6"/>
  <c r="F40" i="6"/>
  <c r="F41" i="6"/>
  <c r="F43" i="6"/>
  <c r="F51" i="6"/>
  <c r="F54" i="6"/>
  <c r="F56" i="6"/>
  <c r="F57" i="6"/>
  <c r="F65" i="6"/>
  <c r="F11" i="6" l="1"/>
  <c r="F15" i="6"/>
  <c r="F19" i="6"/>
  <c r="F23" i="6"/>
  <c r="F27" i="6"/>
  <c r="F31" i="6"/>
  <c r="F39" i="6"/>
  <c r="F47" i="6"/>
  <c r="F55" i="6"/>
  <c r="F59" i="6"/>
  <c r="F63" i="6"/>
  <c r="F67" i="6"/>
  <c r="F12" i="6"/>
  <c r="F16" i="6"/>
  <c r="F24" i="6"/>
  <c r="F28" i="6"/>
  <c r="F44" i="6"/>
  <c r="F48" i="6"/>
  <c r="F52" i="6"/>
  <c r="F60" i="6"/>
  <c r="F64" i="6"/>
  <c r="F68" i="6"/>
  <c r="F13" i="6"/>
  <c r="F17" i="6"/>
  <c r="F21" i="6"/>
  <c r="F25" i="6"/>
  <c r="F33" i="6"/>
  <c r="F45" i="6"/>
  <c r="F49" i="6"/>
  <c r="F53" i="6"/>
  <c r="F61" i="6"/>
  <c r="F10" i="6"/>
  <c r="F18" i="6"/>
  <c r="F22" i="6"/>
  <c r="F26" i="6"/>
  <c r="F30" i="6"/>
  <c r="F34" i="6"/>
  <c r="F38" i="6"/>
  <c r="F42" i="6"/>
  <c r="F46" i="6"/>
  <c r="F50" i="6"/>
  <c r="F58" i="6"/>
  <c r="F62" i="6"/>
  <c r="F66" i="6"/>
  <c r="B21" i="5"/>
  <c r="B33" i="5" s="1"/>
  <c r="C21" i="5"/>
  <c r="C33" i="5" s="1"/>
  <c r="C22" i="5"/>
  <c r="C34" i="5" s="1"/>
  <c r="B22" i="5"/>
  <c r="B34" i="5" s="1"/>
  <c r="F9" i="6" l="1"/>
  <c r="F69" i="6"/>
  <c r="F13" i="7" l="1"/>
  <c r="A5" i="5" l="1"/>
  <c r="H12" i="7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H11" i="7"/>
  <c r="A1" i="6"/>
  <c r="A1" i="5"/>
  <c r="C17" i="5"/>
  <c r="B11" i="5"/>
  <c r="B17" i="5"/>
  <c r="A22" i="7"/>
  <c r="A21" i="7"/>
  <c r="D10" i="7"/>
  <c r="F10" i="7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C12" i="7"/>
  <c r="D29" i="5"/>
  <c r="A38" i="5" s="1"/>
  <c r="G11" i="7"/>
  <c r="H13" i="7"/>
  <c r="I11" i="7" s="1"/>
  <c r="A14" i="7" s="1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13" i="8" l="1"/>
  <c r="B27" i="8"/>
  <c r="C27" i="8" s="1"/>
  <c r="I12" i="7"/>
  <c r="A15" i="7" s="1"/>
  <c r="D35" i="5"/>
  <c r="A39" i="5" s="1"/>
  <c r="D23" i="5"/>
  <c r="A37" i="5" s="1"/>
  <c r="D27" i="8"/>
  <c r="F27" i="8" l="1"/>
  <c r="H21" i="7" l="1"/>
  <c r="F22" i="7" l="1"/>
  <c r="G21" i="7" s="1"/>
  <c r="G20" i="7" l="1"/>
  <c r="H20" i="7" l="1"/>
  <c r="D22" i="7"/>
  <c r="E21" i="7" l="1"/>
  <c r="E20" i="8"/>
  <c r="E13" i="8"/>
  <c r="E27" i="8"/>
  <c r="H22" i="7"/>
  <c r="I20" i="7" s="1"/>
  <c r="A24" i="7" s="1"/>
  <c r="E20" i="7"/>
  <c r="I21" i="7" l="1"/>
  <c r="A25" i="7" s="1"/>
  <c r="G20" i="8"/>
  <c r="A22" i="8" s="1"/>
  <c r="G13" i="8"/>
  <c r="A15" i="8" s="1"/>
  <c r="G27" i="8"/>
  <c r="A29" i="8" s="1"/>
</calcChain>
</file>

<file path=xl/sharedStrings.xml><?xml version="1.0" encoding="utf-8"?>
<sst xmlns="http://schemas.openxmlformats.org/spreadsheetml/2006/main" count="182" uniqueCount="117">
  <si>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</si>
  <si>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</si>
  <si>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</si>
  <si>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</si>
  <si>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</si>
  <si>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</si>
  <si>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</si>
  <si>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</si>
  <si>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</si>
  <si>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</si>
  <si>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</si>
  <si>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</si>
  <si>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</si>
  <si>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</si>
  <si>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</si>
  <si>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</si>
  <si>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</si>
  <si>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</si>
  <si>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</si>
  <si>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</si>
  <si>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</si>
  <si>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</si>
  <si>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</si>
  <si>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</si>
  <si>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</si>
  <si>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</si>
  <si>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</si>
  <si>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</si>
  <si>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</si>
  <si>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</si>
  <si>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</si>
  <si>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</si>
  <si>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</si>
  <si>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</si>
  <si>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</si>
  <si>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</si>
  <si>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</si>
  <si>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</si>
  <si>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</si>
  <si>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</si>
  <si>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</si>
  <si>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</si>
  <si>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</si>
  <si>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</si>
  <si>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</si>
  <si>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</si>
  <si>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</si>
  <si>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</si>
  <si>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</si>
  <si>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</si>
  <si>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</si>
  <si>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</si>
  <si>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</si>
  <si>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</si>
  <si>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</si>
  <si>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</si>
  <si>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</si>
  <si>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</si>
  <si>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</si>
  <si>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</si>
  <si>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</si>
  <si>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</si>
  <si>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</si>
  <si>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</si>
  <si>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</si>
  <si>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</si>
  <si>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</si>
  <si>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</si>
  <si>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</si>
  <si>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</si>
  <si>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</si>
  <si>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</si>
  <si>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</si>
  <si>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</si>
  <si>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</si>
  <si>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</si>
  <si>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</si>
  <si>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</si>
  <si>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</si>
  <si>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</si>
  <si>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</si>
  <si>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</si>
  <si>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</si>
  <si>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</si>
  <si>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</si>
  <si>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</si>
  <si>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</si>
  <si>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</si>
  <si>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</si>
  <si>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</si>
  <si>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</si>
  <si>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</si>
  <si>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</si>
  <si>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</si>
  <si>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</si>
  <si>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</si>
  <si>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</si>
  <si>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</si>
  <si>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</si>
  <si>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</si>
  <si>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</si>
  <si>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</si>
  <si>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</si>
  <si>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Think Energy</t>
  </si>
  <si>
    <t>Attachment 1</t>
  </si>
  <si>
    <t>Agera Energy, LLC</t>
  </si>
  <si>
    <t>BP Energy Company</t>
  </si>
  <si>
    <t>America Wide Energy, LLC</t>
  </si>
  <si>
    <t>Engie Energy Resources Inc. (F/K/A Suez Energy Resources NA)</t>
  </si>
  <si>
    <t>Champion Energy Marketing LLC</t>
  </si>
  <si>
    <t>Ethical Electric Inc.</t>
  </si>
  <si>
    <t>Exelon Generation Company LLC</t>
  </si>
  <si>
    <t>Major Energy Electric Services LLC</t>
  </si>
  <si>
    <t>Calpine Energy Solutions, LLC  ((F/K/A Noble)</t>
  </si>
  <si>
    <t>Everyday Energy, LLC</t>
  </si>
  <si>
    <t>Town Square Energy (F/K/A Community Power)</t>
  </si>
  <si>
    <t>Data as of May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</si>
</sst>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0" fontId="1" fillId="0" borderId="2" xfId="3" applyFont="1" applyFill="1" applyBorder="1" applyProtection="1"/>
    <xf numFmtId="3" fontId="1" fillId="0" borderId="2" xfId="3" applyNumberFormat="1" applyFont="1" applyFill="1" applyBorder="1" applyAlignment="1" applyProtection="1">
      <alignment horizontal="center"/>
      <protection locked="0"/>
    </xf>
    <xf numFmtId="3" fontId="1" fillId="0" borderId="2" xfId="3" applyNumberFormat="1" applyFont="1" applyFill="1" applyBorder="1" applyAlignment="1" applyProtection="1">
      <protection locked="0"/>
    </xf>
    <xf numFmtId="0" fontId="1" fillId="0" borderId="2" xfId="3" applyFont="1" applyFill="1" applyBorder="1" applyProtection="1">
      <protection locked="0"/>
    </xf>
    <xf numFmtId="3" fontId="1" fillId="0" borderId="12" xfId="3" applyNumberFormat="1" applyFont="1" applyFill="1" applyBorder="1" applyAlignment="1" applyProtection="1">
      <protection locked="0"/>
    </xf>
    <xf numFmtId="0" fontId="8" fillId="0" borderId="3" xfId="3" applyFont="1" applyFill="1" applyBorder="1" applyProtection="1"/>
    <xf numFmtId="3" fontId="8" fillId="0" borderId="2" xfId="3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705_May_2017_customer_count_calculation_PS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7_Total/2017_05_May_total_load_by_seg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Raw no stations "/>
      <sheetName val="For RFP"/>
      <sheetName val="RES"/>
      <sheetName val="C&amp;I"/>
      <sheetName val="LRS"/>
      <sheetName val="Summary"/>
      <sheetName val="Stations"/>
      <sheetName val="Suppliers"/>
      <sheetName val="Sheet3"/>
      <sheetName val="Suppliers codes"/>
      <sheetName val="Sheet2"/>
      <sheetName val="commercial"/>
      <sheetName val="resident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107380</v>
          </cell>
        </row>
        <row r="19">
          <cell r="B19">
            <v>21967</v>
          </cell>
        </row>
        <row r="20">
          <cell r="B20">
            <v>219</v>
          </cell>
        </row>
        <row r="22">
          <cell r="B22">
            <v>192953</v>
          </cell>
        </row>
        <row r="23">
          <cell r="B23">
            <v>16856</v>
          </cell>
        </row>
        <row r="24">
          <cell r="B24">
            <v>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2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4">
          <cell r="H24">
            <v>54584.947000000015</v>
          </cell>
        </row>
        <row r="25">
          <cell r="H25">
            <v>147136.69897700031</v>
          </cell>
        </row>
        <row r="26">
          <cell r="H26">
            <v>75482.552023000113</v>
          </cell>
        </row>
        <row r="29">
          <cell r="H29">
            <v>84451.859000000011</v>
          </cell>
        </row>
        <row r="30">
          <cell r="H30">
            <v>36759.690000000031</v>
          </cell>
        </row>
        <row r="31">
          <cell r="H31">
            <v>6770.1940000000004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zoomScaleNormal="100" workbookViewId="0">
      <selection activeCell="A24" sqref="A24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9" customFormat="1" ht="18" customHeight="1" x14ac:dyDescent="0.2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15" s="9" customFormat="1" ht="18" customHeight="1" x14ac:dyDescent="0.2">
      <c r="A2" s="25" t="s">
        <v>104</v>
      </c>
      <c r="B2" s="26"/>
      <c r="C2" s="26"/>
      <c r="D2" s="26"/>
      <c r="E2" s="26"/>
      <c r="F2" s="26"/>
      <c r="G2" s="27"/>
      <c r="H2" s="28"/>
      <c r="I2" s="28"/>
    </row>
    <row r="3" spans="1:15" s="9" customFormat="1" ht="18" customHeight="1" x14ac:dyDescent="0.2">
      <c r="A3" s="25" t="s">
        <v>56</v>
      </c>
      <c r="B3" s="26"/>
      <c r="C3" s="26"/>
      <c r="D3" s="26"/>
      <c r="E3" s="26"/>
      <c r="F3" s="26"/>
      <c r="G3" s="27"/>
      <c r="H3" s="28"/>
      <c r="I3" s="28"/>
    </row>
    <row r="4" spans="1:15" s="9" customFormat="1" ht="18" customHeight="1" x14ac:dyDescent="0.2">
      <c r="A4" s="25" t="s">
        <v>38</v>
      </c>
      <c r="B4" s="26"/>
      <c r="C4" s="26"/>
      <c r="D4" s="26"/>
      <c r="E4" s="26"/>
      <c r="F4" s="26"/>
      <c r="G4" s="27"/>
      <c r="H4" s="28"/>
      <c r="I4" s="28"/>
    </row>
    <row r="5" spans="1:15" s="9" customFormat="1" ht="18" customHeight="1" x14ac:dyDescent="0.2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15" s="9" customFormat="1" ht="18" customHeight="1" x14ac:dyDescent="0.2">
      <c r="A6" s="24" t="s">
        <v>116</v>
      </c>
      <c r="B6" s="28"/>
      <c r="C6" s="28"/>
      <c r="D6" s="73"/>
      <c r="E6" s="73"/>
      <c r="F6" s="73"/>
      <c r="G6" s="28"/>
      <c r="H6" s="28"/>
      <c r="I6" s="28"/>
    </row>
    <row r="8" spans="1:15" ht="18" customHeight="1" x14ac:dyDescent="0.2">
      <c r="A8" s="31" t="s">
        <v>41</v>
      </c>
      <c r="B8" s="32"/>
      <c r="C8" s="32"/>
      <c r="D8" s="32"/>
      <c r="E8" s="32"/>
      <c r="F8" s="32"/>
      <c r="G8" s="33"/>
      <c r="H8" s="28"/>
      <c r="I8" s="28"/>
    </row>
    <row r="9" spans="1:15" s="38" customFormat="1" ht="18" customHeight="1" x14ac:dyDescent="0.2">
      <c r="A9" s="3"/>
      <c r="B9" s="34" t="s">
        <v>42</v>
      </c>
      <c r="C9" s="35"/>
      <c r="D9" s="34" t="s">
        <v>8</v>
      </c>
      <c r="E9" s="36"/>
      <c r="F9" s="34" t="s">
        <v>9</v>
      </c>
      <c r="G9" s="37"/>
      <c r="H9" s="34" t="s">
        <v>44</v>
      </c>
      <c r="I9" s="36"/>
    </row>
    <row r="10" spans="1:15" ht="18" customHeight="1" x14ac:dyDescent="0.2">
      <c r="A10" s="39"/>
      <c r="B10" s="40" t="s">
        <v>11</v>
      </c>
      <c r="C10" s="41" t="s">
        <v>31</v>
      </c>
      <c r="D10" s="40" t="str">
        <f>B10</f>
        <v>MWh</v>
      </c>
      <c r="E10" s="41" t="s">
        <v>31</v>
      </c>
      <c r="F10" s="40" t="str">
        <f>D10</f>
        <v>MWh</v>
      </c>
      <c r="G10" s="41" t="s">
        <v>31</v>
      </c>
      <c r="H10" s="40" t="str">
        <f>F10</f>
        <v>MWh</v>
      </c>
      <c r="I10" s="41" t="s">
        <v>30</v>
      </c>
    </row>
    <row r="11" spans="1:15" ht="18" customHeight="1" x14ac:dyDescent="0.2">
      <c r="A11" s="42" t="s">
        <v>13</v>
      </c>
      <c r="B11" s="71">
        <f>[2]Check!$H$24</f>
        <v>54584.947000000015</v>
      </c>
      <c r="C11" s="43">
        <f>IF(B11=0,0,B11/$B$13)</f>
        <v>0.39259350506081103</v>
      </c>
      <c r="D11" s="71">
        <f>[2]Check!$H$25</f>
        <v>147136.69897700031</v>
      </c>
      <c r="E11" s="43">
        <f>IF(D11=0,0,D11/$D$13)</f>
        <v>0.80010651538895894</v>
      </c>
      <c r="F11" s="71">
        <f>[2]Check!$H$26</f>
        <v>75482.552023000113</v>
      </c>
      <c r="G11" s="43">
        <f>IF(F11=0,0,F11/$F$13)</f>
        <v>0.91769035895644291</v>
      </c>
      <c r="H11" s="44">
        <f>IF(B11+D11+F11=0,0,B11+D11+F11)</f>
        <v>277204.19800000044</v>
      </c>
      <c r="I11" s="43">
        <f>IF(H11=0,0,H11/$H$13)</f>
        <v>0.68414071158505507</v>
      </c>
    </row>
    <row r="12" spans="1:15" ht="18" customHeight="1" x14ac:dyDescent="0.2">
      <c r="A12" s="42" t="s">
        <v>15</v>
      </c>
      <c r="B12" s="72">
        <f>[2]Check!$H$29</f>
        <v>84451.859000000011</v>
      </c>
      <c r="C12" s="43">
        <f>IF(B12=0,0,B12/$B$13)</f>
        <v>0.60740649493918886</v>
      </c>
      <c r="D12" s="72">
        <f>[2]Check!$H$30</f>
        <v>36759.690000000031</v>
      </c>
      <c r="E12" s="43">
        <f>IF(D12=0,0,D12/$D$13)</f>
        <v>0.19989348461104101</v>
      </c>
      <c r="F12" s="72">
        <f>[2]Check!$H$31</f>
        <v>6770.1940000000004</v>
      </c>
      <c r="G12" s="43">
        <f>IF(F12=0,0,F12/$F$13)</f>
        <v>8.2309641043557008E-2</v>
      </c>
      <c r="H12" s="105">
        <f>IF(B12+D12+F12=0,0,B12+D12+F12)</f>
        <v>127981.74300000005</v>
      </c>
      <c r="I12" s="43">
        <f>IF(H12=0,0,H12/$H$13)</f>
        <v>0.31585928841494504</v>
      </c>
    </row>
    <row r="13" spans="1:15" ht="18" customHeight="1" x14ac:dyDescent="0.2">
      <c r="A13" s="42" t="s">
        <v>16</v>
      </c>
      <c r="B13" s="45">
        <f>SUM(B11:B12)</f>
        <v>139036.80600000004</v>
      </c>
      <c r="C13" s="46"/>
      <c r="D13" s="45">
        <f>SUM(D11:D12)</f>
        <v>183896.38897700034</v>
      </c>
      <c r="E13" s="46"/>
      <c r="F13" s="45">
        <f>SUM(F11:F12)</f>
        <v>82252.746023000116</v>
      </c>
      <c r="G13" s="46"/>
      <c r="H13" s="45">
        <f>IF(H11+H12=0,0,H11+H12)</f>
        <v>405185.94100000046</v>
      </c>
      <c r="I13" s="47"/>
    </row>
    <row r="14" spans="1:15" ht="18" customHeight="1" x14ac:dyDescent="0.2">
      <c r="A14" s="102" t="str">
        <f>"As the above table shows, "&amp;TEXT(H11,"0,000")&amp; " MWh, or "&amp;TEXT(I11,"0.0%")&amp;" of UI's total load is served by electric suppliers"</f>
        <v>As the above table shows, 277,204 MWh, or 68.4% of UI's total load is served by electric suppliers</v>
      </c>
      <c r="H14" s="30"/>
      <c r="L14" s="104"/>
      <c r="M14" s="104"/>
      <c r="O14" s="104"/>
    </row>
    <row r="15" spans="1:15" ht="18" customHeight="1" x14ac:dyDescent="0.25">
      <c r="A15" s="102" t="str">
        <f>"while "&amp;TEXT(H12,"0,000")&amp;" MHh, or "&amp;TEXT(I12,"0.0%")&amp;" of the load is provided under Standard Service or Last Resort service through UI."</f>
        <v>while 127,982 MHh, or 31.6% of the load is provided under Standard Service or Last Resort service through UI.</v>
      </c>
      <c r="B15" s="49"/>
      <c r="C15" s="50"/>
      <c r="D15" s="49"/>
      <c r="E15" s="50"/>
      <c r="F15" s="51"/>
      <c r="G15" s="52"/>
      <c r="H15" s="30"/>
    </row>
    <row r="16" spans="1:15" ht="15" x14ac:dyDescent="0.25">
      <c r="G16" s="52"/>
      <c r="H16" s="30"/>
    </row>
    <row r="17" spans="1:17" ht="18" customHeight="1" x14ac:dyDescent="0.2">
      <c r="A17" s="31" t="s">
        <v>40</v>
      </c>
      <c r="B17" s="32"/>
      <c r="C17" s="32"/>
      <c r="D17" s="32"/>
      <c r="E17" s="32"/>
      <c r="F17" s="32"/>
      <c r="G17" s="53"/>
      <c r="H17" s="27"/>
      <c r="I17" s="28"/>
    </row>
    <row r="18" spans="1:17" ht="18" customHeight="1" x14ac:dyDescent="0.25">
      <c r="A18" s="42"/>
      <c r="B18" s="34" t="s">
        <v>42</v>
      </c>
      <c r="C18" s="54"/>
      <c r="D18" s="34" t="s">
        <v>8</v>
      </c>
      <c r="E18" s="55"/>
      <c r="F18" s="34" t="s">
        <v>9</v>
      </c>
      <c r="G18" s="37"/>
      <c r="H18" s="34" t="s">
        <v>44</v>
      </c>
      <c r="I18" s="36"/>
      <c r="O18" s="103"/>
    </row>
    <row r="19" spans="1:17" ht="18" customHeight="1" x14ac:dyDescent="0.2">
      <c r="A19" s="39"/>
      <c r="B19" s="40" t="s">
        <v>22</v>
      </c>
      <c r="C19" s="41" t="s">
        <v>31</v>
      </c>
      <c r="D19" s="40" t="str">
        <f>B19</f>
        <v>Customers</v>
      </c>
      <c r="E19" s="41" t="s">
        <v>31</v>
      </c>
      <c r="F19" s="40" t="str">
        <f>D19</f>
        <v>Customers</v>
      </c>
      <c r="G19" s="41" t="s">
        <v>31</v>
      </c>
      <c r="H19" s="40" t="str">
        <f>F19</f>
        <v>Customers</v>
      </c>
      <c r="I19" s="41" t="s">
        <v>30</v>
      </c>
    </row>
    <row r="20" spans="1:17" ht="18" customHeight="1" x14ac:dyDescent="0.2">
      <c r="A20" s="42" t="str">
        <f>A11</f>
        <v>Suppliers</v>
      </c>
      <c r="B20" s="71">
        <f>[1]Summary!$B$18</f>
        <v>107380</v>
      </c>
      <c r="C20" s="43">
        <f>IF(B20=0,0,B20/$B$22)</f>
        <v>0.35753646785401538</v>
      </c>
      <c r="D20" s="71">
        <f>[1]Summary!$B$19</f>
        <v>21967</v>
      </c>
      <c r="E20" s="56">
        <f>IF(D20=0,0,D20/$D$22)</f>
        <v>0.56582438245370015</v>
      </c>
      <c r="F20" s="71">
        <f>[1]Summary!$B$20</f>
        <v>219</v>
      </c>
      <c r="G20" s="43">
        <f>IF(F20=0,0,F20/$F$22)</f>
        <v>0.89387755102040811</v>
      </c>
      <c r="H20" s="44">
        <f>IF(B20+D20+F20=0,0,B20+D20+F20)</f>
        <v>129566</v>
      </c>
      <c r="I20" s="43">
        <f>IF(H20=0,0,H20/$H$22)</f>
        <v>0.38174902254265602</v>
      </c>
      <c r="J20" s="57"/>
      <c r="M20" s="104"/>
    </row>
    <row r="21" spans="1:17" ht="18" customHeight="1" x14ac:dyDescent="0.2">
      <c r="A21" s="42" t="str">
        <f>A12</f>
        <v>UI</v>
      </c>
      <c r="B21" s="72">
        <f>[1]Summary!$B$22</f>
        <v>192953</v>
      </c>
      <c r="C21" s="43">
        <f>IF(B21=0,0,B21/$B$22)</f>
        <v>0.64246353214598462</v>
      </c>
      <c r="D21" s="72">
        <f>[1]Summary!$B$23</f>
        <v>16856</v>
      </c>
      <c r="E21" s="56">
        <f>IF(D21=0,0,D21/$D$22)</f>
        <v>0.43417561754629985</v>
      </c>
      <c r="F21" s="72">
        <f>[1]Summary!$B$24</f>
        <v>26</v>
      </c>
      <c r="G21" s="43">
        <f>IF(F21=0,0,F21/$F$22)</f>
        <v>0.10612244897959183</v>
      </c>
      <c r="H21" s="72">
        <f>IF(B21+D21+F21=0,0,B21+D21+F21)</f>
        <v>209835</v>
      </c>
      <c r="I21" s="43">
        <f>IF(H21=0,0,H21/$H$22)</f>
        <v>0.61825097745734392</v>
      </c>
    </row>
    <row r="22" spans="1:17" ht="18" customHeight="1" x14ac:dyDescent="0.2">
      <c r="A22" s="42" t="str">
        <f>A13</f>
        <v xml:space="preserve">     Total</v>
      </c>
      <c r="B22" s="45">
        <f>SUM(B20:B21)</f>
        <v>300333</v>
      </c>
      <c r="C22" s="58"/>
      <c r="D22" s="45">
        <f>SUM(D20:D21)</f>
        <v>38823</v>
      </c>
      <c r="E22" s="46"/>
      <c r="F22" s="45">
        <f>SUM(F20:F21)</f>
        <v>245</v>
      </c>
      <c r="G22" s="46"/>
      <c r="H22" s="45">
        <f>IF(H20+H21=0,0,H20+H21)</f>
        <v>339401</v>
      </c>
      <c r="I22" s="47"/>
      <c r="N22" s="104"/>
      <c r="Q22" s="104"/>
    </row>
    <row r="23" spans="1:17" ht="18" customHeight="1" x14ac:dyDescent="0.25">
      <c r="G23" s="52"/>
      <c r="H23" s="30"/>
    </row>
    <row r="24" spans="1:17" ht="18" customHeight="1" x14ac:dyDescent="0.25">
      <c r="A24" s="102" t="str">
        <f>"As the above table shows, "&amp;TEXT(H20,"0,000")&amp; " of UI's total customers, or "&amp;TEXT(I20,"0.0%")&amp;" are served by electric suppliers"</f>
        <v>As the above table shows, 129,566 of UI's total customers, or 38.2% are served by electric suppliers</v>
      </c>
      <c r="G24" s="52"/>
      <c r="H24" s="30"/>
      <c r="J24" s="104"/>
    </row>
    <row r="25" spans="1:17" ht="18" customHeight="1" x14ac:dyDescent="0.25">
      <c r="A25" s="102" t="str">
        <f>"while "&amp;TEXT(H21,"0,000")&amp;" or "&amp;TEXT(I21,"0.0%")&amp;" of the customers continue to receive Standard Service or Last Resort service through UI."</f>
        <v>while 209,835 or 61.8% of the customers continue to receive Standard Service or Last Resort service through UI.</v>
      </c>
      <c r="B25" s="59"/>
      <c r="C25" s="59"/>
      <c r="D25" s="59"/>
      <c r="E25" s="59"/>
      <c r="F25" s="60"/>
      <c r="G25" s="61"/>
      <c r="H25" s="30"/>
    </row>
    <row r="26" spans="1:17" ht="18" customHeight="1" x14ac:dyDescent="0.25">
      <c r="B26" s="30"/>
      <c r="C26" s="30"/>
      <c r="D26" s="61"/>
      <c r="E26" s="61"/>
      <c r="F26" s="62"/>
      <c r="G26" s="62"/>
      <c r="H26" s="30"/>
    </row>
    <row r="28" spans="1:17" ht="13.5" x14ac:dyDescent="0.2">
      <c r="A28" s="69" t="s">
        <v>39</v>
      </c>
      <c r="I28" s="104"/>
    </row>
    <row r="29" spans="1:17" ht="13.5" x14ac:dyDescent="0.2">
      <c r="A29" s="69" t="s">
        <v>43</v>
      </c>
    </row>
    <row r="30" spans="1:17" ht="13.5" x14ac:dyDescent="0.2">
      <c r="A30" s="69" t="s">
        <v>78</v>
      </c>
    </row>
    <row r="31" spans="1:17" x14ac:dyDescent="0.2">
      <c r="A31" s="70" t="s">
        <v>29</v>
      </c>
    </row>
    <row r="32" spans="1:17" x14ac:dyDescent="0.2">
      <c r="A32" s="70" t="s">
        <v>35</v>
      </c>
    </row>
    <row r="36" spans="1:1" x14ac:dyDescent="0.2">
      <c r="A36" s="104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GridLines="0" showZeros="0" zoomScaleNormal="100" workbookViewId="0">
      <selection activeCell="C14" sqref="C14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9" customFormat="1" ht="18" customHeight="1" x14ac:dyDescent="0.2">
      <c r="A1" s="14" t="str">
        <f>'Summary Load Customers '!A1</f>
        <v>The United Illuminating Company</v>
      </c>
      <c r="B1" s="15"/>
      <c r="C1" s="15"/>
      <c r="D1" s="15"/>
      <c r="E1" s="15"/>
      <c r="F1" s="7"/>
      <c r="G1" s="8"/>
      <c r="H1" s="8"/>
      <c r="I1" s="8"/>
      <c r="J1" s="8"/>
      <c r="K1" s="8"/>
    </row>
    <row r="2" spans="1:11" s="9" customFormat="1" ht="18" customHeight="1" x14ac:dyDescent="0.2">
      <c r="A2" s="118" t="s">
        <v>104</v>
      </c>
      <c r="B2" s="118"/>
      <c r="C2" s="118"/>
      <c r="D2" s="118"/>
      <c r="E2" s="118"/>
      <c r="F2" s="118"/>
      <c r="G2" s="27"/>
      <c r="H2" s="28"/>
      <c r="I2" s="28"/>
    </row>
    <row r="3" spans="1:11" s="9" customFormat="1" ht="18" customHeight="1" x14ac:dyDescent="0.2">
      <c r="A3" s="14" t="s">
        <v>1</v>
      </c>
      <c r="B3" s="15"/>
      <c r="C3" s="15"/>
      <c r="D3" s="15"/>
      <c r="E3" s="15"/>
      <c r="F3" s="7"/>
      <c r="G3" s="8"/>
      <c r="H3" s="8"/>
      <c r="I3" s="8"/>
      <c r="J3" s="8"/>
      <c r="K3" s="8"/>
    </row>
    <row r="4" spans="1:11" s="9" customFormat="1" ht="18" customHeight="1" x14ac:dyDescent="0.2">
      <c r="A4" s="14" t="s">
        <v>2</v>
      </c>
      <c r="B4" s="15"/>
      <c r="C4" s="15"/>
      <c r="D4" s="15"/>
      <c r="E4" s="15"/>
      <c r="F4" s="7"/>
      <c r="G4" s="8"/>
      <c r="H4" s="8"/>
      <c r="I4" s="8"/>
      <c r="J4" s="8"/>
      <c r="K4" s="8"/>
    </row>
    <row r="5" spans="1:11" s="9" customFormat="1" ht="18" customHeight="1" x14ac:dyDescent="0.2">
      <c r="A5" s="10" t="str">
        <f>'Summary Load Customers '!A6</f>
        <v>Data as of May 31, 2017</v>
      </c>
      <c r="B5" s="15"/>
      <c r="C5" s="15"/>
      <c r="D5" s="15"/>
      <c r="E5" s="15"/>
      <c r="F5" s="16"/>
      <c r="G5" s="8"/>
      <c r="H5" s="8"/>
      <c r="I5" s="8"/>
      <c r="J5" s="8"/>
      <c r="K5" s="8"/>
    </row>
    <row r="6" spans="1:11" ht="9" customHeight="1" x14ac:dyDescent="0.2">
      <c r="A6" s="17"/>
      <c r="B6" s="6"/>
      <c r="C6" s="18"/>
      <c r="D6" s="18"/>
      <c r="E6" s="12"/>
      <c r="F6" s="12"/>
    </row>
    <row r="7" spans="1:11" s="9" customFormat="1" ht="18" customHeight="1" x14ac:dyDescent="0.2">
      <c r="A7" s="19"/>
      <c r="B7" s="20"/>
      <c r="C7" s="4" t="s">
        <v>3</v>
      </c>
      <c r="D7" s="13"/>
      <c r="E7" s="13"/>
      <c r="F7" s="21"/>
      <c r="G7" s="8"/>
      <c r="H7" s="8"/>
      <c r="I7" s="8"/>
      <c r="J7" s="8"/>
      <c r="K7" s="8"/>
    </row>
    <row r="8" spans="1:11" ht="25.5" x14ac:dyDescent="0.2">
      <c r="A8" s="22"/>
      <c r="B8" s="5" t="s">
        <v>4</v>
      </c>
      <c r="C8" s="5" t="s">
        <v>5</v>
      </c>
      <c r="D8" s="5" t="s">
        <v>6</v>
      </c>
      <c r="E8" s="5" t="s">
        <v>7</v>
      </c>
      <c r="F8" s="5" t="s">
        <v>36</v>
      </c>
    </row>
    <row r="9" spans="1:11" ht="14.25" customHeight="1" x14ac:dyDescent="0.2">
      <c r="A9" s="108">
        <v>1</v>
      </c>
      <c r="B9" s="109" t="s">
        <v>88</v>
      </c>
      <c r="C9" s="110">
        <v>19</v>
      </c>
      <c r="D9" s="110">
        <v>8</v>
      </c>
      <c r="E9" s="116">
        <v>27</v>
      </c>
      <c r="F9" s="23">
        <f>IF(E9=0,"",E9/$E$69)</f>
        <v>2.0838800302548508E-4</v>
      </c>
    </row>
    <row r="10" spans="1:11" ht="14.25" customHeight="1" x14ac:dyDescent="0.2">
      <c r="A10" s="108">
        <v>2</v>
      </c>
      <c r="B10" s="109" t="s">
        <v>87</v>
      </c>
      <c r="C10" s="110">
        <v>394</v>
      </c>
      <c r="D10" s="110">
        <v>309</v>
      </c>
      <c r="E10" s="116">
        <v>703</v>
      </c>
      <c r="F10" s="23">
        <f t="shared" ref="F10:F68" si="0">IF(E10=0,"",E10/$E$69)</f>
        <v>5.4258061528487415E-3</v>
      </c>
    </row>
    <row r="11" spans="1:11" ht="14.25" customHeight="1" x14ac:dyDescent="0.2">
      <c r="A11" s="108">
        <v>3</v>
      </c>
      <c r="B11" s="109" t="s">
        <v>105</v>
      </c>
      <c r="C11" s="110">
        <v>529</v>
      </c>
      <c r="D11" s="110">
        <v>696</v>
      </c>
      <c r="E11" s="116">
        <v>1225</v>
      </c>
      <c r="F11" s="23">
        <f t="shared" si="0"/>
        <v>9.4546408780081196E-3</v>
      </c>
    </row>
    <row r="12" spans="1:11" ht="14.25" customHeight="1" x14ac:dyDescent="0.2">
      <c r="A12" s="108">
        <v>4</v>
      </c>
      <c r="B12" s="109" t="s">
        <v>82</v>
      </c>
      <c r="C12" s="110">
        <v>10509</v>
      </c>
      <c r="D12" s="110">
        <v>782</v>
      </c>
      <c r="E12" s="116">
        <v>11291</v>
      </c>
      <c r="F12" s="23">
        <f t="shared" si="0"/>
        <v>8.7144775635583413E-2</v>
      </c>
    </row>
    <row r="13" spans="1:11" ht="14.25" customHeight="1" x14ac:dyDescent="0.2">
      <c r="A13" s="108">
        <v>5</v>
      </c>
      <c r="B13" s="109" t="s">
        <v>107</v>
      </c>
      <c r="C13" s="110">
        <v>0</v>
      </c>
      <c r="D13" s="110">
        <v>7</v>
      </c>
      <c r="E13" s="116">
        <v>7</v>
      </c>
      <c r="F13" s="23">
        <f t="shared" si="0"/>
        <v>5.4026519302903543E-5</v>
      </c>
    </row>
    <row r="14" spans="1:11" ht="14.25" customHeight="1" x14ac:dyDescent="0.2">
      <c r="A14" s="108">
        <v>6</v>
      </c>
      <c r="B14" s="109" t="s">
        <v>92</v>
      </c>
      <c r="C14" s="110">
        <v>0</v>
      </c>
      <c r="D14" s="110">
        <v>0</v>
      </c>
      <c r="E14" s="116">
        <v>0</v>
      </c>
      <c r="F14" s="23" t="str">
        <f t="shared" si="0"/>
        <v/>
      </c>
    </row>
    <row r="15" spans="1:11" ht="14.25" customHeight="1" x14ac:dyDescent="0.2">
      <c r="A15" s="108">
        <v>7</v>
      </c>
      <c r="B15" s="117" t="s">
        <v>102</v>
      </c>
      <c r="C15" s="110">
        <v>4</v>
      </c>
      <c r="D15" s="110">
        <v>145</v>
      </c>
      <c r="E15" s="116">
        <v>149</v>
      </c>
      <c r="F15" s="23">
        <f t="shared" si="0"/>
        <v>1.1499930537332325E-3</v>
      </c>
    </row>
    <row r="16" spans="1:11" ht="14.25" customHeight="1" x14ac:dyDescent="0.2">
      <c r="A16" s="108">
        <v>8</v>
      </c>
      <c r="B16" s="111" t="s">
        <v>106</v>
      </c>
      <c r="C16" s="110">
        <v>192</v>
      </c>
      <c r="D16" s="110">
        <v>217</v>
      </c>
      <c r="E16" s="116">
        <v>409</v>
      </c>
      <c r="F16" s="23">
        <f t="shared" si="0"/>
        <v>3.1566923421267926E-3</v>
      </c>
    </row>
    <row r="17" spans="1:6" ht="14.25" customHeight="1" x14ac:dyDescent="0.2">
      <c r="A17" s="108">
        <v>9</v>
      </c>
      <c r="B17" s="109" t="s">
        <v>113</v>
      </c>
      <c r="C17" s="110">
        <v>17</v>
      </c>
      <c r="D17" s="110">
        <v>3054</v>
      </c>
      <c r="E17" s="116">
        <v>3071</v>
      </c>
      <c r="F17" s="23">
        <f t="shared" si="0"/>
        <v>2.3702205825602396E-2</v>
      </c>
    </row>
    <row r="18" spans="1:6" ht="14.25" customHeight="1" x14ac:dyDescent="0.2">
      <c r="A18" s="108">
        <v>10</v>
      </c>
      <c r="B18" s="111" t="s">
        <v>109</v>
      </c>
      <c r="C18" s="110">
        <v>0</v>
      </c>
      <c r="D18" s="110">
        <v>20</v>
      </c>
      <c r="E18" s="116">
        <v>20</v>
      </c>
      <c r="F18" s="23">
        <f t="shared" si="0"/>
        <v>1.5436148372258154E-4</v>
      </c>
    </row>
    <row r="19" spans="1:6" ht="14.25" customHeight="1" x14ac:dyDescent="0.2">
      <c r="A19" s="108">
        <v>11</v>
      </c>
      <c r="B19" s="109" t="s">
        <v>53</v>
      </c>
      <c r="C19" s="110">
        <v>914</v>
      </c>
      <c r="D19" s="110">
        <v>21</v>
      </c>
      <c r="E19" s="116">
        <v>935</v>
      </c>
      <c r="F19" s="23">
        <f t="shared" si="0"/>
        <v>7.2163993640306867E-3</v>
      </c>
    </row>
    <row r="20" spans="1:6" ht="14.25" customHeight="1" x14ac:dyDescent="0.2">
      <c r="A20" s="108">
        <v>12</v>
      </c>
      <c r="B20" s="109" t="s">
        <v>52</v>
      </c>
      <c r="C20" s="110">
        <v>0</v>
      </c>
      <c r="D20" s="110">
        <v>0</v>
      </c>
      <c r="E20" s="116">
        <v>0</v>
      </c>
      <c r="F20" s="23" t="str">
        <f t="shared" si="0"/>
        <v/>
      </c>
    </row>
    <row r="21" spans="1:6" ht="14.25" customHeight="1" x14ac:dyDescent="0.2">
      <c r="A21" s="108">
        <v>13</v>
      </c>
      <c r="B21" s="109" t="s">
        <v>10</v>
      </c>
      <c r="C21" s="110">
        <v>4191</v>
      </c>
      <c r="D21" s="110">
        <v>23</v>
      </c>
      <c r="E21" s="116">
        <v>4214</v>
      </c>
      <c r="F21" s="23">
        <f t="shared" si="0"/>
        <v>3.2523964620347928E-2</v>
      </c>
    </row>
    <row r="22" spans="1:6" ht="14.25" customHeight="1" x14ac:dyDescent="0.2">
      <c r="A22" s="108">
        <v>14</v>
      </c>
      <c r="B22" s="109" t="s">
        <v>12</v>
      </c>
      <c r="C22" s="110">
        <v>8672</v>
      </c>
      <c r="D22" s="110">
        <v>1013</v>
      </c>
      <c r="E22" s="116">
        <v>9685</v>
      </c>
      <c r="F22" s="23">
        <f t="shared" si="0"/>
        <v>7.4749548492660106E-2</v>
      </c>
    </row>
    <row r="23" spans="1:6" ht="14.25" customHeight="1" x14ac:dyDescent="0.2">
      <c r="A23" s="108">
        <v>15</v>
      </c>
      <c r="B23" s="109" t="s">
        <v>84</v>
      </c>
      <c r="C23" s="110">
        <v>109</v>
      </c>
      <c r="D23" s="110">
        <v>61</v>
      </c>
      <c r="E23" s="116">
        <v>170</v>
      </c>
      <c r="F23" s="23">
        <f t="shared" si="0"/>
        <v>1.3120726116419431E-3</v>
      </c>
    </row>
    <row r="24" spans="1:6" ht="14.25" customHeight="1" x14ac:dyDescent="0.2">
      <c r="A24" s="108">
        <v>16</v>
      </c>
      <c r="B24" s="109" t="s">
        <v>14</v>
      </c>
      <c r="C24" s="110">
        <v>339</v>
      </c>
      <c r="D24" s="110">
        <v>3055</v>
      </c>
      <c r="E24" s="116">
        <v>3394</v>
      </c>
      <c r="F24" s="23">
        <f t="shared" si="0"/>
        <v>2.6195143787722086E-2</v>
      </c>
    </row>
    <row r="25" spans="1:6" ht="14.25" customHeight="1" x14ac:dyDescent="0.2">
      <c r="A25" s="108">
        <v>17</v>
      </c>
      <c r="B25" s="109" t="s">
        <v>81</v>
      </c>
      <c r="C25" s="110">
        <v>908</v>
      </c>
      <c r="D25" s="110">
        <v>119</v>
      </c>
      <c r="E25" s="116">
        <v>1027</v>
      </c>
      <c r="F25" s="23">
        <f t="shared" si="0"/>
        <v>7.9264621891545622E-3</v>
      </c>
    </row>
    <row r="26" spans="1:6" ht="14.25" customHeight="1" x14ac:dyDescent="0.2">
      <c r="A26" s="108">
        <v>18</v>
      </c>
      <c r="B26" s="109" t="s">
        <v>96</v>
      </c>
      <c r="C26" s="110">
        <v>70</v>
      </c>
      <c r="D26" s="110">
        <v>937</v>
      </c>
      <c r="E26" s="116">
        <v>1007</v>
      </c>
      <c r="F26" s="23">
        <f t="shared" si="0"/>
        <v>7.7721007054319807E-3</v>
      </c>
    </row>
    <row r="27" spans="1:6" ht="14.25" customHeight="1" x14ac:dyDescent="0.2">
      <c r="A27" s="108">
        <v>19</v>
      </c>
      <c r="B27" s="109" t="s">
        <v>97</v>
      </c>
      <c r="C27" s="110">
        <v>12859</v>
      </c>
      <c r="D27" s="110">
        <v>3242</v>
      </c>
      <c r="E27" s="116">
        <v>16101</v>
      </c>
      <c r="F27" s="23">
        <f t="shared" si="0"/>
        <v>0.12426871247086427</v>
      </c>
    </row>
    <row r="28" spans="1:6" ht="14.25" customHeight="1" x14ac:dyDescent="0.2">
      <c r="A28" s="108">
        <v>20</v>
      </c>
      <c r="B28" s="111" t="s">
        <v>49</v>
      </c>
      <c r="C28" s="110">
        <v>5329</v>
      </c>
      <c r="D28" s="110">
        <v>353</v>
      </c>
      <c r="E28" s="116">
        <v>5682</v>
      </c>
      <c r="F28" s="23">
        <f t="shared" si="0"/>
        <v>4.3854097525585417E-2</v>
      </c>
    </row>
    <row r="29" spans="1:6" ht="14.25" customHeight="1" x14ac:dyDescent="0.2">
      <c r="A29" s="108">
        <v>21</v>
      </c>
      <c r="B29" s="109" t="s">
        <v>90</v>
      </c>
      <c r="C29" s="110">
        <v>0</v>
      </c>
      <c r="D29" s="110">
        <v>0</v>
      </c>
      <c r="E29" s="116">
        <v>0</v>
      </c>
      <c r="F29" s="23" t="str">
        <f t="shared" si="0"/>
        <v/>
      </c>
    </row>
    <row r="30" spans="1:6" ht="14.25" customHeight="1" x14ac:dyDescent="0.2">
      <c r="A30" s="108">
        <v>22</v>
      </c>
      <c r="B30" s="111" t="s">
        <v>45</v>
      </c>
      <c r="C30" s="110">
        <v>711</v>
      </c>
      <c r="D30" s="110">
        <v>149</v>
      </c>
      <c r="E30" s="116">
        <v>860</v>
      </c>
      <c r="F30" s="23">
        <f t="shared" si="0"/>
        <v>6.6375438000710061E-3</v>
      </c>
    </row>
    <row r="31" spans="1:6" ht="14.25" customHeight="1" x14ac:dyDescent="0.2">
      <c r="A31" s="108">
        <v>23</v>
      </c>
      <c r="B31" s="109" t="s">
        <v>108</v>
      </c>
      <c r="C31" s="110">
        <v>90</v>
      </c>
      <c r="D31" s="110">
        <v>691</v>
      </c>
      <c r="E31" s="116">
        <v>781</v>
      </c>
      <c r="F31" s="23">
        <f t="shared" si="0"/>
        <v>6.0278159393668089E-3</v>
      </c>
    </row>
    <row r="32" spans="1:6" ht="14.25" customHeight="1" x14ac:dyDescent="0.2">
      <c r="A32" s="108">
        <v>24</v>
      </c>
      <c r="B32" s="111" t="s">
        <v>110</v>
      </c>
      <c r="C32" s="110">
        <v>0</v>
      </c>
      <c r="D32" s="110">
        <v>0</v>
      </c>
      <c r="E32" s="116">
        <v>0</v>
      </c>
      <c r="F32" s="23" t="str">
        <f t="shared" si="0"/>
        <v/>
      </c>
    </row>
    <row r="33" spans="1:6" ht="14.25" customHeight="1" x14ac:dyDescent="0.2">
      <c r="A33" s="108">
        <v>25</v>
      </c>
      <c r="B33" s="111" t="s">
        <v>114</v>
      </c>
      <c r="C33" s="110">
        <v>2</v>
      </c>
      <c r="D33" s="110">
        <v>0</v>
      </c>
      <c r="E33" s="116">
        <v>2</v>
      </c>
      <c r="F33" s="23">
        <f t="shared" si="0"/>
        <v>1.5436148372258154E-5</v>
      </c>
    </row>
    <row r="34" spans="1:6" ht="14.25" customHeight="1" x14ac:dyDescent="0.2">
      <c r="A34" s="108">
        <v>26</v>
      </c>
      <c r="B34" s="111" t="s">
        <v>111</v>
      </c>
      <c r="C34" s="110">
        <v>4185</v>
      </c>
      <c r="D34" s="110">
        <v>24</v>
      </c>
      <c r="E34" s="116">
        <v>4209</v>
      </c>
      <c r="F34" s="23">
        <f t="shared" si="0"/>
        <v>3.2485374249417283E-2</v>
      </c>
    </row>
    <row r="35" spans="1:6" ht="14.25" customHeight="1" x14ac:dyDescent="0.2">
      <c r="A35" s="108">
        <v>27</v>
      </c>
      <c r="B35" s="109" t="s">
        <v>17</v>
      </c>
      <c r="C35" s="110">
        <v>0</v>
      </c>
      <c r="D35" s="110">
        <v>0</v>
      </c>
      <c r="E35" s="116">
        <v>0</v>
      </c>
      <c r="F35" s="23" t="str">
        <f t="shared" si="0"/>
        <v/>
      </c>
    </row>
    <row r="36" spans="1:6" ht="14.25" customHeight="1" x14ac:dyDescent="0.2">
      <c r="A36" s="108">
        <v>28</v>
      </c>
      <c r="B36" s="109" t="s">
        <v>60</v>
      </c>
      <c r="C36" s="110">
        <v>0</v>
      </c>
      <c r="D36" s="110">
        <v>0</v>
      </c>
      <c r="E36" s="116">
        <v>0</v>
      </c>
      <c r="F36" s="23" t="str">
        <f t="shared" si="0"/>
        <v/>
      </c>
    </row>
    <row r="37" spans="1:6" ht="14.25" customHeight="1" x14ac:dyDescent="0.2">
      <c r="A37" s="108">
        <v>29</v>
      </c>
      <c r="B37" s="109" t="s">
        <v>18</v>
      </c>
      <c r="C37" s="110">
        <v>0</v>
      </c>
      <c r="D37" s="110">
        <v>0</v>
      </c>
      <c r="E37" s="116">
        <v>0</v>
      </c>
      <c r="F37" s="23" t="str">
        <f t="shared" si="0"/>
        <v/>
      </c>
    </row>
    <row r="38" spans="1:6" ht="14.25" customHeight="1" x14ac:dyDescent="0.2">
      <c r="A38" s="108">
        <v>30</v>
      </c>
      <c r="B38" s="109" t="s">
        <v>100</v>
      </c>
      <c r="C38" s="110">
        <v>0</v>
      </c>
      <c r="D38" s="110">
        <v>0</v>
      </c>
      <c r="E38" s="116">
        <v>0</v>
      </c>
      <c r="F38" s="23" t="str">
        <f t="shared" si="0"/>
        <v/>
      </c>
    </row>
    <row r="39" spans="1:6" ht="14.25" customHeight="1" x14ac:dyDescent="0.2">
      <c r="A39" s="108">
        <v>31</v>
      </c>
      <c r="B39" s="109" t="s">
        <v>89</v>
      </c>
      <c r="C39" s="110">
        <v>1001</v>
      </c>
      <c r="D39" s="110">
        <v>10</v>
      </c>
      <c r="E39" s="116">
        <v>1011</v>
      </c>
      <c r="F39" s="23">
        <f t="shared" si="0"/>
        <v>7.8029730021764972E-3</v>
      </c>
    </row>
    <row r="40" spans="1:6" ht="14.25" customHeight="1" x14ac:dyDescent="0.2">
      <c r="A40" s="108">
        <v>32</v>
      </c>
      <c r="B40" s="109" t="s">
        <v>59</v>
      </c>
      <c r="C40" s="110">
        <v>0</v>
      </c>
      <c r="D40" s="110">
        <v>0</v>
      </c>
      <c r="E40" s="116">
        <v>0</v>
      </c>
      <c r="F40" s="23" t="str">
        <f t="shared" si="0"/>
        <v/>
      </c>
    </row>
    <row r="41" spans="1:6" ht="14.25" customHeight="1" x14ac:dyDescent="0.2">
      <c r="A41" s="108">
        <v>33</v>
      </c>
      <c r="B41" s="109" t="s">
        <v>76</v>
      </c>
      <c r="C41" s="110">
        <v>0</v>
      </c>
      <c r="D41" s="110">
        <v>0</v>
      </c>
      <c r="E41" s="116">
        <v>0</v>
      </c>
      <c r="F41" s="23" t="str">
        <f t="shared" si="0"/>
        <v/>
      </c>
    </row>
    <row r="42" spans="1:6" ht="14.25" customHeight="1" x14ac:dyDescent="0.2">
      <c r="A42" s="108">
        <v>34</v>
      </c>
      <c r="B42" s="109" t="s">
        <v>19</v>
      </c>
      <c r="C42" s="110">
        <v>450</v>
      </c>
      <c r="D42" s="110">
        <v>944</v>
      </c>
      <c r="E42" s="116">
        <v>1394</v>
      </c>
      <c r="F42" s="23">
        <f t="shared" si="0"/>
        <v>1.0758995415463933E-2</v>
      </c>
    </row>
    <row r="43" spans="1:6" ht="14.25" customHeight="1" x14ac:dyDescent="0.2">
      <c r="A43" s="108">
        <v>35</v>
      </c>
      <c r="B43" s="109" t="s">
        <v>20</v>
      </c>
      <c r="C43" s="110">
        <v>0</v>
      </c>
      <c r="D43" s="110">
        <v>0</v>
      </c>
      <c r="E43" s="116">
        <v>0</v>
      </c>
      <c r="F43" s="23" t="str">
        <f t="shared" si="0"/>
        <v/>
      </c>
    </row>
    <row r="44" spans="1:6" ht="14.25" customHeight="1" x14ac:dyDescent="0.2">
      <c r="A44" s="108">
        <v>36</v>
      </c>
      <c r="B44" s="109" t="s">
        <v>21</v>
      </c>
      <c r="C44" s="110">
        <v>4234</v>
      </c>
      <c r="D44" s="110">
        <v>386</v>
      </c>
      <c r="E44" s="116">
        <v>4620</v>
      </c>
      <c r="F44" s="23">
        <f t="shared" si="0"/>
        <v>3.5657502739916337E-2</v>
      </c>
    </row>
    <row r="45" spans="1:6" ht="14.25" customHeight="1" x14ac:dyDescent="0.2">
      <c r="A45" s="108">
        <v>37</v>
      </c>
      <c r="B45" s="109" t="s">
        <v>112</v>
      </c>
      <c r="C45" s="110">
        <v>1</v>
      </c>
      <c r="D45" s="110">
        <v>0</v>
      </c>
      <c r="E45" s="116">
        <v>1</v>
      </c>
      <c r="F45" s="23">
        <f t="shared" si="0"/>
        <v>7.7180741861290768E-6</v>
      </c>
    </row>
    <row r="46" spans="1:6" ht="14.25" customHeight="1" x14ac:dyDescent="0.2">
      <c r="A46" s="108">
        <v>38</v>
      </c>
      <c r="B46" s="109" t="s">
        <v>93</v>
      </c>
      <c r="C46" s="110">
        <v>222</v>
      </c>
      <c r="D46" s="110">
        <v>127</v>
      </c>
      <c r="E46" s="116">
        <v>349</v>
      </c>
      <c r="F46" s="23">
        <f t="shared" si="0"/>
        <v>2.6936078909590481E-3</v>
      </c>
    </row>
    <row r="47" spans="1:6" ht="14.25" customHeight="1" x14ac:dyDescent="0.2">
      <c r="A47" s="108">
        <v>39</v>
      </c>
      <c r="B47" s="109" t="s">
        <v>77</v>
      </c>
      <c r="C47" s="110">
        <v>1</v>
      </c>
      <c r="D47" s="110">
        <v>57</v>
      </c>
      <c r="E47" s="116">
        <v>58</v>
      </c>
      <c r="F47" s="23">
        <f t="shared" si="0"/>
        <v>4.4764830279548647E-4</v>
      </c>
    </row>
    <row r="48" spans="1:6" ht="14.25" customHeight="1" x14ac:dyDescent="0.2">
      <c r="A48" s="108">
        <v>40</v>
      </c>
      <c r="B48" s="109" t="s">
        <v>91</v>
      </c>
      <c r="C48" s="110">
        <v>362</v>
      </c>
      <c r="D48" s="110">
        <v>1329</v>
      </c>
      <c r="E48" s="116">
        <v>1691</v>
      </c>
      <c r="F48" s="23">
        <f t="shared" si="0"/>
        <v>1.305126344874427E-2</v>
      </c>
    </row>
    <row r="49" spans="1:6" ht="14.25" customHeight="1" x14ac:dyDescent="0.2">
      <c r="A49" s="108">
        <v>41</v>
      </c>
      <c r="B49" s="109" t="s">
        <v>50</v>
      </c>
      <c r="C49" s="110">
        <v>9635</v>
      </c>
      <c r="D49" s="110">
        <v>211</v>
      </c>
      <c r="E49" s="116">
        <v>9846</v>
      </c>
      <c r="F49" s="23">
        <f t="shared" si="0"/>
        <v>7.5992158436626892E-2</v>
      </c>
    </row>
    <row r="50" spans="1:6" ht="14.25" customHeight="1" x14ac:dyDescent="0.2">
      <c r="A50" s="108">
        <v>42</v>
      </c>
      <c r="B50" s="109" t="s">
        <v>58</v>
      </c>
      <c r="C50" s="110">
        <v>284</v>
      </c>
      <c r="D50" s="110">
        <v>8</v>
      </c>
      <c r="E50" s="116">
        <v>292</v>
      </c>
      <c r="F50" s="23">
        <f t="shared" si="0"/>
        <v>2.2536776623496907E-3</v>
      </c>
    </row>
    <row r="51" spans="1:6" x14ac:dyDescent="0.2">
      <c r="A51" s="108">
        <v>43</v>
      </c>
      <c r="B51" s="109" t="s">
        <v>94</v>
      </c>
      <c r="C51" s="110">
        <v>0</v>
      </c>
      <c r="D51" s="110">
        <v>0</v>
      </c>
      <c r="E51" s="116">
        <v>0</v>
      </c>
      <c r="F51" s="23" t="str">
        <f t="shared" si="0"/>
        <v/>
      </c>
    </row>
    <row r="52" spans="1:6" x14ac:dyDescent="0.2">
      <c r="A52" s="108">
        <v>44</v>
      </c>
      <c r="B52" s="109" t="s">
        <v>85</v>
      </c>
      <c r="C52" s="110">
        <v>2414</v>
      </c>
      <c r="D52" s="110">
        <v>162</v>
      </c>
      <c r="E52" s="116">
        <v>2576</v>
      </c>
      <c r="F52" s="23">
        <f t="shared" si="0"/>
        <v>1.9881759103468503E-2</v>
      </c>
    </row>
    <row r="53" spans="1:6" x14ac:dyDescent="0.2">
      <c r="A53" s="108">
        <v>45</v>
      </c>
      <c r="B53" s="109" t="s">
        <v>23</v>
      </c>
      <c r="C53" s="110">
        <v>8627</v>
      </c>
      <c r="D53" s="110">
        <v>1202</v>
      </c>
      <c r="E53" s="116">
        <v>9829</v>
      </c>
      <c r="F53" s="23">
        <f t="shared" si="0"/>
        <v>7.5860951175462696E-2</v>
      </c>
    </row>
    <row r="54" spans="1:6" x14ac:dyDescent="0.2">
      <c r="A54" s="108">
        <v>46</v>
      </c>
      <c r="B54" s="109" t="s">
        <v>55</v>
      </c>
      <c r="C54" s="110">
        <v>0</v>
      </c>
      <c r="D54" s="110">
        <v>0</v>
      </c>
      <c r="E54" s="116">
        <v>0</v>
      </c>
      <c r="F54" s="23" t="str">
        <f t="shared" si="0"/>
        <v/>
      </c>
    </row>
    <row r="55" spans="1:6" x14ac:dyDescent="0.2">
      <c r="A55" s="108">
        <v>47</v>
      </c>
      <c r="B55" s="109" t="s">
        <v>86</v>
      </c>
      <c r="C55" s="110">
        <v>1493</v>
      </c>
      <c r="D55" s="110">
        <v>287</v>
      </c>
      <c r="E55" s="116">
        <v>1780</v>
      </c>
      <c r="F55" s="23">
        <f t="shared" si="0"/>
        <v>1.3738172051309757E-2</v>
      </c>
    </row>
    <row r="56" spans="1:6" x14ac:dyDescent="0.2">
      <c r="A56" s="108">
        <v>48</v>
      </c>
      <c r="B56" s="112" t="s">
        <v>48</v>
      </c>
      <c r="C56" s="110">
        <v>0</v>
      </c>
      <c r="D56" s="110">
        <v>0</v>
      </c>
      <c r="E56" s="116">
        <v>0</v>
      </c>
      <c r="F56" s="23" t="str">
        <f t="shared" si="0"/>
        <v/>
      </c>
    </row>
    <row r="57" spans="1:6" x14ac:dyDescent="0.2">
      <c r="A57" s="108">
        <v>49</v>
      </c>
      <c r="B57" s="109" t="s">
        <v>54</v>
      </c>
      <c r="C57" s="110">
        <v>0</v>
      </c>
      <c r="D57" s="110">
        <v>0</v>
      </c>
      <c r="E57" s="116">
        <v>0</v>
      </c>
      <c r="F57" s="23" t="str">
        <f t="shared" si="0"/>
        <v/>
      </c>
    </row>
    <row r="58" spans="1:6" x14ac:dyDescent="0.2">
      <c r="A58" s="108">
        <v>50</v>
      </c>
      <c r="B58" s="109" t="s">
        <v>57</v>
      </c>
      <c r="C58" s="110">
        <v>4415</v>
      </c>
      <c r="D58" s="110">
        <v>703</v>
      </c>
      <c r="E58" s="116">
        <v>5118</v>
      </c>
      <c r="F58" s="23">
        <f t="shared" si="0"/>
        <v>3.9501103684608616E-2</v>
      </c>
    </row>
    <row r="59" spans="1:6" x14ac:dyDescent="0.2">
      <c r="A59" s="108">
        <v>51</v>
      </c>
      <c r="B59" s="109" t="s">
        <v>51</v>
      </c>
      <c r="C59" s="110">
        <v>3624</v>
      </c>
      <c r="D59" s="110">
        <v>160</v>
      </c>
      <c r="E59" s="116">
        <v>3784</v>
      </c>
      <c r="F59" s="23">
        <f t="shared" si="0"/>
        <v>2.9205192720312429E-2</v>
      </c>
    </row>
    <row r="60" spans="1:6" x14ac:dyDescent="0.2">
      <c r="A60" s="108">
        <v>52</v>
      </c>
      <c r="B60" s="109" t="s">
        <v>101</v>
      </c>
      <c r="C60" s="110">
        <v>3589</v>
      </c>
      <c r="D60" s="110">
        <v>450</v>
      </c>
      <c r="E60" s="116">
        <v>4039</v>
      </c>
      <c r="F60" s="23">
        <f t="shared" si="0"/>
        <v>3.1173301637775343E-2</v>
      </c>
    </row>
    <row r="61" spans="1:6" x14ac:dyDescent="0.2">
      <c r="A61" s="108">
        <v>53</v>
      </c>
      <c r="B61" s="109" t="s">
        <v>83</v>
      </c>
      <c r="C61" s="110">
        <v>0</v>
      </c>
      <c r="D61" s="110">
        <v>14</v>
      </c>
      <c r="E61" s="116">
        <v>14</v>
      </c>
      <c r="F61" s="23">
        <f t="shared" si="0"/>
        <v>1.0805303860580709E-4</v>
      </c>
    </row>
    <row r="62" spans="1:6" x14ac:dyDescent="0.2">
      <c r="A62" s="108">
        <v>54</v>
      </c>
      <c r="B62" s="109" t="s">
        <v>103</v>
      </c>
      <c r="C62" s="110">
        <v>5192</v>
      </c>
      <c r="D62" s="110">
        <v>176</v>
      </c>
      <c r="E62" s="116">
        <v>5368</v>
      </c>
      <c r="F62" s="23">
        <f t="shared" si="0"/>
        <v>4.1430622231140884E-2</v>
      </c>
    </row>
    <row r="63" spans="1:6" x14ac:dyDescent="0.2">
      <c r="A63" s="108">
        <v>55</v>
      </c>
      <c r="B63" s="109" t="s">
        <v>115</v>
      </c>
      <c r="C63" s="110">
        <v>4853</v>
      </c>
      <c r="D63" s="110">
        <v>224</v>
      </c>
      <c r="E63" s="116">
        <v>5077</v>
      </c>
      <c r="F63" s="23">
        <f t="shared" si="0"/>
        <v>3.9184662642977326E-2</v>
      </c>
    </row>
    <row r="64" spans="1:6" x14ac:dyDescent="0.2">
      <c r="A64" s="108">
        <v>56</v>
      </c>
      <c r="B64" s="109" t="s">
        <v>24</v>
      </c>
      <c r="C64" s="110">
        <v>70</v>
      </c>
      <c r="D64" s="110">
        <v>235</v>
      </c>
      <c r="E64" s="116">
        <v>305</v>
      </c>
      <c r="F64" s="23">
        <f t="shared" si="0"/>
        <v>2.3540126267693686E-3</v>
      </c>
    </row>
    <row r="65" spans="1:10" x14ac:dyDescent="0.2">
      <c r="A65" s="108">
        <v>57</v>
      </c>
      <c r="B65" s="109" t="s">
        <v>80</v>
      </c>
      <c r="C65" s="110">
        <v>0</v>
      </c>
      <c r="D65" s="110">
        <v>0</v>
      </c>
      <c r="E65" s="116">
        <v>0</v>
      </c>
      <c r="F65" s="23" t="str">
        <f t="shared" si="0"/>
        <v/>
      </c>
    </row>
    <row r="66" spans="1:10" x14ac:dyDescent="0.2">
      <c r="A66" s="108">
        <v>58</v>
      </c>
      <c r="B66" s="111" t="s">
        <v>47</v>
      </c>
      <c r="C66" s="110">
        <v>3951</v>
      </c>
      <c r="D66" s="110">
        <v>96</v>
      </c>
      <c r="E66" s="116">
        <v>4047</v>
      </c>
      <c r="F66" s="23">
        <f t="shared" si="0"/>
        <v>3.1235046231264375E-2</v>
      </c>
    </row>
    <row r="67" spans="1:10" x14ac:dyDescent="0.2">
      <c r="A67" s="108">
        <v>59</v>
      </c>
      <c r="B67" s="111" t="s">
        <v>46</v>
      </c>
      <c r="C67" s="110">
        <v>1276</v>
      </c>
      <c r="D67" s="110">
        <v>190</v>
      </c>
      <c r="E67" s="116">
        <v>1466</v>
      </c>
      <c r="F67" s="23">
        <f t="shared" si="0"/>
        <v>1.1314696756865228E-2</v>
      </c>
    </row>
    <row r="68" spans="1:10" ht="13.5" thickBot="1" x14ac:dyDescent="0.25">
      <c r="A68" s="108">
        <v>60</v>
      </c>
      <c r="B68" s="113" t="s">
        <v>79</v>
      </c>
      <c r="C68" s="110">
        <v>1643</v>
      </c>
      <c r="D68" s="110">
        <v>289</v>
      </c>
      <c r="E68" s="116">
        <v>1932</v>
      </c>
      <c r="F68" s="23">
        <f t="shared" si="0"/>
        <v>1.4911319327601378E-2</v>
      </c>
    </row>
    <row r="69" spans="1:10" ht="13.5" thickTop="1" x14ac:dyDescent="0.2">
      <c r="A69" s="11"/>
      <c r="B69" s="114" t="s">
        <v>25</v>
      </c>
      <c r="C69" s="115">
        <f>SUM(C9:C68)</f>
        <v>107380</v>
      </c>
      <c r="D69" s="115">
        <f>SUM(D9:D68)</f>
        <v>22186</v>
      </c>
      <c r="E69" s="115">
        <f>SUM(E9:E68)</f>
        <v>129566</v>
      </c>
      <c r="F69" s="23">
        <f t="shared" ref="F69" si="1">IF(E69=0,"",E69/$E$69)</f>
        <v>1</v>
      </c>
    </row>
    <row r="70" spans="1:10" x14ac:dyDescent="0.2">
      <c r="A70" s="2" t="s">
        <v>29</v>
      </c>
      <c r="B70" s="18"/>
      <c r="C70" s="18"/>
      <c r="D70" s="18"/>
      <c r="E70" s="18"/>
    </row>
    <row r="71" spans="1:10" x14ac:dyDescent="0.2">
      <c r="A71" s="2" t="s">
        <v>33</v>
      </c>
      <c r="D71" s="18"/>
      <c r="E71" s="18"/>
    </row>
    <row r="72" spans="1:10" x14ac:dyDescent="0.2">
      <c r="A72" s="2" t="s">
        <v>34</v>
      </c>
      <c r="C72" s="11"/>
      <c r="D72" s="11"/>
      <c r="E72" s="11"/>
    </row>
    <row r="73" spans="1:10" x14ac:dyDescent="0.2">
      <c r="C73" s="11"/>
      <c r="D73" s="11"/>
      <c r="E73" s="11"/>
      <c r="J73" s="107"/>
    </row>
    <row r="74" spans="1:10" x14ac:dyDescent="0.2">
      <c r="B74" s="106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A16" zoomScaleNormal="100" zoomScalePageLayoutView="70" workbookViewId="0">
      <selection activeCell="B20" sqref="B20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9" customFormat="1" ht="18" customHeight="1" x14ac:dyDescent="0.2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9" s="9" customFormat="1" ht="18" customHeight="1" x14ac:dyDescent="0.2">
      <c r="A2" s="118" t="s">
        <v>104</v>
      </c>
      <c r="B2" s="118"/>
      <c r="C2" s="118"/>
      <c r="D2" s="118"/>
      <c r="E2" s="118"/>
      <c r="F2" s="118"/>
      <c r="G2" s="118"/>
      <c r="H2" s="118"/>
      <c r="I2" s="28"/>
    </row>
    <row r="3" spans="1:9" s="9" customFormat="1" ht="18" customHeight="1" x14ac:dyDescent="0.2">
      <c r="A3" s="25" t="s">
        <v>75</v>
      </c>
      <c r="B3" s="26"/>
      <c r="C3" s="26"/>
      <c r="D3" s="26"/>
      <c r="E3" s="26"/>
      <c r="F3" s="26"/>
      <c r="G3" s="27"/>
      <c r="H3" s="28"/>
      <c r="I3" s="28"/>
    </row>
    <row r="4" spans="1:9" s="9" customFormat="1" ht="18" customHeight="1" x14ac:dyDescent="0.2">
      <c r="A4" s="25" t="s">
        <v>74</v>
      </c>
      <c r="B4" s="26"/>
      <c r="C4" s="26"/>
      <c r="D4" s="26"/>
      <c r="E4" s="26"/>
      <c r="F4" s="26"/>
      <c r="G4" s="27"/>
      <c r="H4" s="28"/>
      <c r="I4" s="28"/>
    </row>
    <row r="5" spans="1:9" s="9" customFormat="1" ht="18" customHeight="1" x14ac:dyDescent="0.2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9" s="9" customFormat="1" ht="18" customHeight="1" x14ac:dyDescent="0.2">
      <c r="A6" s="10" t="str">
        <f>'Summary Load Customers '!A6</f>
        <v>Data as of May 31, 2017</v>
      </c>
      <c r="B6" s="28"/>
      <c r="C6" s="28"/>
      <c r="D6" s="73"/>
      <c r="E6" s="73"/>
      <c r="F6" s="73"/>
      <c r="G6" s="28"/>
      <c r="H6" s="28"/>
      <c r="I6" s="28"/>
    </row>
    <row r="7" spans="1:9" ht="18" customHeight="1" x14ac:dyDescent="0.25">
      <c r="B7" s="30"/>
      <c r="C7" s="30"/>
      <c r="D7" s="61"/>
      <c r="E7" s="61"/>
      <c r="F7" s="62"/>
      <c r="G7" s="62"/>
      <c r="H7" s="30"/>
    </row>
    <row r="8" spans="1:9" ht="18" customHeight="1" x14ac:dyDescent="0.25">
      <c r="A8" s="63" t="s">
        <v>68</v>
      </c>
      <c r="B8" s="64"/>
      <c r="C8" s="64"/>
      <c r="D8" s="65"/>
      <c r="E8" s="65"/>
      <c r="F8" s="66"/>
      <c r="G8" s="66"/>
      <c r="H8" s="64"/>
      <c r="I8" s="67"/>
    </row>
    <row r="9" spans="1:9" ht="18" customHeight="1" x14ac:dyDescent="0.3">
      <c r="B9" s="30"/>
      <c r="C9" s="30"/>
      <c r="D9" s="61"/>
      <c r="E9" s="61"/>
      <c r="F9" s="68"/>
      <c r="G9" s="68"/>
      <c r="H9" s="30"/>
    </row>
    <row r="10" spans="1:9" ht="18" customHeight="1" x14ac:dyDescent="0.2">
      <c r="A10" s="31" t="s">
        <v>98</v>
      </c>
      <c r="B10" s="32"/>
      <c r="C10" s="32"/>
      <c r="D10" s="32"/>
      <c r="E10" s="32"/>
      <c r="F10" s="32"/>
      <c r="G10" s="53"/>
      <c r="H10" s="27"/>
      <c r="I10" s="28"/>
    </row>
    <row r="11" spans="1:9" ht="18" customHeight="1" x14ac:dyDescent="0.25">
      <c r="A11" s="42"/>
      <c r="B11" s="34" t="s">
        <v>5</v>
      </c>
      <c r="C11" s="54"/>
      <c r="D11" s="34" t="s">
        <v>37</v>
      </c>
      <c r="E11" s="55"/>
      <c r="F11" s="34" t="s">
        <v>44</v>
      </c>
      <c r="G11" s="36"/>
    </row>
    <row r="12" spans="1:9" ht="18" customHeight="1" x14ac:dyDescent="0.2">
      <c r="A12" s="39"/>
      <c r="B12" s="40" t="s">
        <v>22</v>
      </c>
      <c r="C12" s="41" t="s">
        <v>31</v>
      </c>
      <c r="D12" s="40" t="str">
        <f>B12</f>
        <v>Customers</v>
      </c>
      <c r="E12" s="41" t="s">
        <v>31</v>
      </c>
      <c r="F12" s="40" t="str">
        <f>B12</f>
        <v>Customers</v>
      </c>
      <c r="G12" s="41" t="s">
        <v>30</v>
      </c>
    </row>
    <row r="13" spans="1:9" ht="18" customHeight="1" x14ac:dyDescent="0.2">
      <c r="A13" s="42" t="s">
        <v>70</v>
      </c>
      <c r="B13" s="45">
        <f>REC_programs_detail!B23</f>
        <v>4018</v>
      </c>
      <c r="C13" s="46">
        <f>IF(B13=0,0,B13/'Summary Load Customers '!$B$22)</f>
        <v>1.3378483216962505E-2</v>
      </c>
      <c r="D13" s="45">
        <f>REC_programs_detail!C23</f>
        <v>41</v>
      </c>
      <c r="E13" s="46">
        <f>IF(D13=0,0,D13/('Summary Load Customers '!$D$22+'Summary Load Customers '!$F$22))</f>
        <v>1.0494522371250127E-3</v>
      </c>
      <c r="F13" s="45">
        <f>B13+D13</f>
        <v>4059</v>
      </c>
      <c r="G13" s="46">
        <f>IF(F13=0,0,F13/'Summary Load Customers '!$H$22)</f>
        <v>1.1959304775177445E-2</v>
      </c>
    </row>
    <row r="14" spans="1:9" ht="15.75" customHeight="1" x14ac:dyDescent="0.25">
      <c r="G14" s="52"/>
      <c r="H14" s="30"/>
    </row>
    <row r="15" spans="1:9" ht="15.75" customHeight="1" x14ac:dyDescent="0.25">
      <c r="A15" s="102" t="str">
        <f>"As the above table shows, "&amp;TEXT(F13,"0,000")&amp;" of UI's customers, or "&amp;TEXT(G13,"0.0%")&amp;" are participating in the CTCleanEnergyOptions Program."</f>
        <v>As the above table shows, 4,059 of UI's customers, or 1.2% are participating in the CTCleanEnergyOptions Program.</v>
      </c>
      <c r="G15" s="52"/>
      <c r="H15" s="30"/>
    </row>
    <row r="16" spans="1:9" ht="15.75" customHeight="1" x14ac:dyDescent="0.25">
      <c r="G16" s="52"/>
      <c r="H16" s="30"/>
    </row>
    <row r="17" spans="1:9" ht="18" customHeight="1" x14ac:dyDescent="0.2">
      <c r="A17" s="31" t="s">
        <v>69</v>
      </c>
      <c r="B17" s="32"/>
      <c r="C17" s="32"/>
      <c r="D17" s="32"/>
      <c r="E17" s="32"/>
      <c r="F17" s="32"/>
      <c r="G17" s="53"/>
      <c r="H17" s="27"/>
      <c r="I17" s="28"/>
    </row>
    <row r="18" spans="1:9" ht="18" customHeight="1" x14ac:dyDescent="0.25">
      <c r="A18" s="42"/>
      <c r="B18" s="34" t="s">
        <v>5</v>
      </c>
      <c r="C18" s="54"/>
      <c r="D18" s="34" t="s">
        <v>37</v>
      </c>
      <c r="E18" s="55"/>
      <c r="F18" s="34" t="s">
        <v>44</v>
      </c>
      <c r="G18" s="36"/>
    </row>
    <row r="19" spans="1:9" ht="18" customHeight="1" x14ac:dyDescent="0.2">
      <c r="A19" s="39"/>
      <c r="B19" s="40" t="s">
        <v>22</v>
      </c>
      <c r="C19" s="41" t="s">
        <v>31</v>
      </c>
      <c r="D19" s="40" t="str">
        <f>B19</f>
        <v>Customers</v>
      </c>
      <c r="E19" s="41" t="s">
        <v>31</v>
      </c>
      <c r="F19" s="40" t="str">
        <f>B19</f>
        <v>Customers</v>
      </c>
      <c r="G19" s="41" t="s">
        <v>30</v>
      </c>
    </row>
    <row r="20" spans="1:9" ht="18" customHeight="1" x14ac:dyDescent="0.2">
      <c r="A20" s="42" t="s">
        <v>71</v>
      </c>
      <c r="B20" s="45">
        <f>REC_programs_detail!B29</f>
        <v>717</v>
      </c>
      <c r="C20" s="46">
        <f>IF(B20=0,0,B20/'Summary Load Customers '!$B$22)</f>
        <v>2.387350041453986E-3</v>
      </c>
      <c r="D20" s="45">
        <f>REC_programs_detail!C29</f>
        <v>61</v>
      </c>
      <c r="E20" s="46">
        <f>IF(D20=0,0,D20/('Summary Load Customers '!$D$22+'Summary Load Customers '!$F$22))</f>
        <v>1.5613801576737996E-3</v>
      </c>
      <c r="F20" s="45">
        <f>B20+D20</f>
        <v>778</v>
      </c>
      <c r="G20" s="46">
        <f>IF(F20=0,0,F20/'Summary Load Customers '!$H$22)</f>
        <v>2.2922737410909218E-3</v>
      </c>
    </row>
    <row r="21" spans="1:9" ht="18" customHeight="1" x14ac:dyDescent="0.2">
      <c r="B21" s="51"/>
      <c r="C21" s="50"/>
      <c r="D21" s="51"/>
      <c r="E21" s="50"/>
      <c r="F21" s="51"/>
      <c r="G21" s="50"/>
      <c r="H21" s="51"/>
      <c r="I21" s="50"/>
    </row>
    <row r="22" spans="1:9" ht="18" customHeight="1" x14ac:dyDescent="0.2">
      <c r="A22" s="102" t="str">
        <f>"As the above table shows, "&amp;TEXT(F20,"0,000")&amp;" of UI's customers, or "&amp;TEXT(G20,"0.0%")&amp;" are participating in the REC only program."</f>
        <v>As the above table shows, 0,778 of UI's customers, or 0.2% are participating in the REC only program.</v>
      </c>
      <c r="B22" s="51"/>
      <c r="C22" s="50"/>
      <c r="D22" s="51"/>
      <c r="E22" s="50"/>
      <c r="F22" s="51"/>
      <c r="G22" s="50"/>
      <c r="H22" s="51"/>
      <c r="I22" s="50"/>
    </row>
    <row r="23" spans="1:9" ht="14.25" x14ac:dyDescent="0.2">
      <c r="A23" s="48"/>
    </row>
    <row r="24" spans="1:9" ht="15" x14ac:dyDescent="0.2">
      <c r="A24" s="31" t="s">
        <v>73</v>
      </c>
      <c r="B24" s="32"/>
      <c r="C24" s="32"/>
      <c r="D24" s="32"/>
      <c r="E24" s="32"/>
      <c r="F24" s="32"/>
      <c r="G24" s="53"/>
      <c r="H24" s="27"/>
      <c r="I24" s="28"/>
    </row>
    <row r="25" spans="1:9" ht="15" x14ac:dyDescent="0.25">
      <c r="A25" s="42"/>
      <c r="B25" s="34" t="s">
        <v>5</v>
      </c>
      <c r="C25" s="54"/>
      <c r="D25" s="34" t="s">
        <v>37</v>
      </c>
      <c r="E25" s="55"/>
      <c r="F25" s="34" t="s">
        <v>44</v>
      </c>
      <c r="G25" s="36"/>
    </row>
    <row r="26" spans="1:9" ht="15" x14ac:dyDescent="0.2">
      <c r="A26" s="39"/>
      <c r="B26" s="40" t="s">
        <v>22</v>
      </c>
      <c r="C26" s="41" t="s">
        <v>31</v>
      </c>
      <c r="D26" s="40" t="str">
        <f>B26</f>
        <v>Customers</v>
      </c>
      <c r="E26" s="41" t="s">
        <v>31</v>
      </c>
      <c r="F26" s="40" t="str">
        <f>B26</f>
        <v>Customers</v>
      </c>
      <c r="G26" s="41" t="s">
        <v>30</v>
      </c>
    </row>
    <row r="27" spans="1:9" ht="14.25" x14ac:dyDescent="0.2">
      <c r="A27" s="42" t="s">
        <v>72</v>
      </c>
      <c r="B27" s="45">
        <f>B13+B20</f>
        <v>4735</v>
      </c>
      <c r="C27" s="46">
        <f>IF(B27=0,0,B27/'Summary Load Customers '!$B$22)</f>
        <v>1.576583325841649E-2</v>
      </c>
      <c r="D27" s="45">
        <f>D13+D20</f>
        <v>102</v>
      </c>
      <c r="E27" s="46">
        <f>IF(D27=0,0,D27/('Summary Load Customers '!$D$22+'Summary Load Customers '!$F$22))</f>
        <v>2.6108323947988121E-3</v>
      </c>
      <c r="F27" s="45">
        <f>B27+D27</f>
        <v>4837</v>
      </c>
      <c r="G27" s="46">
        <f>IF(F27=0,0,F27/'Summary Load Customers '!$H$22)</f>
        <v>1.4251578516268367E-2</v>
      </c>
    </row>
    <row r="28" spans="1:9" ht="15" x14ac:dyDescent="0.25">
      <c r="G28" s="52"/>
      <c r="H28" s="30"/>
    </row>
    <row r="29" spans="1:9" ht="15" x14ac:dyDescent="0.25">
      <c r="A29" s="102" t="str">
        <f>"As the above table shows, "&amp;TEXT(F27,"0,000")&amp;" of UI's customers, or "&amp;TEXT(G27,"0.0%")&amp;" are participating in the combined REC programs."</f>
        <v>As the above table shows, 4,837 of UI's customers, or 1.4% are participating in the combined REC programs.</v>
      </c>
      <c r="G29" s="52"/>
      <c r="H29" s="30"/>
    </row>
    <row r="31" spans="1:9" ht="13.5" x14ac:dyDescent="0.2">
      <c r="A31" s="69" t="s">
        <v>43</v>
      </c>
    </row>
    <row r="32" spans="1:9" ht="13.5" x14ac:dyDescent="0.2">
      <c r="A32" s="69"/>
    </row>
    <row r="33" spans="1:1" ht="13.5" x14ac:dyDescent="0.2">
      <c r="A33" s="69" t="s">
        <v>99</v>
      </c>
    </row>
    <row r="34" spans="1:1" x14ac:dyDescent="0.2">
      <c r="A34" s="70" t="s">
        <v>95</v>
      </c>
    </row>
    <row r="36" spans="1:1" x14ac:dyDescent="0.2">
      <c r="A36" s="70" t="s">
        <v>29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7" zoomScale="110" zoomScaleNormal="110" workbookViewId="0">
      <selection activeCell="B33" sqref="B33"/>
    </sheetView>
  </sheetViews>
  <sheetFormatPr defaultColWidth="9.140625" defaultRowHeight="11.25" x14ac:dyDescent="0.2"/>
  <cols>
    <col min="1" max="1" width="28" style="77" customWidth="1"/>
    <col min="2" max="3" width="19.140625" style="77" customWidth="1"/>
    <col min="4" max="4" width="20.28515625" style="77" customWidth="1"/>
    <col min="5" max="5" width="7.140625" style="77" customWidth="1"/>
    <col min="6" max="6" width="23.28515625" style="77" bestFit="1" customWidth="1"/>
    <col min="7" max="7" width="10.42578125" style="77" customWidth="1"/>
    <col min="8" max="16384" width="9.140625" style="77"/>
  </cols>
  <sheetData>
    <row r="1" spans="1:9" s="76" customFormat="1" ht="15" customHeight="1" x14ac:dyDescent="0.2">
      <c r="A1" s="119" t="str">
        <f>'Summary Load Customers '!A1</f>
        <v>The United Illuminating Company</v>
      </c>
      <c r="B1" s="119"/>
      <c r="C1" s="119"/>
      <c r="D1" s="119"/>
      <c r="E1" s="74"/>
      <c r="F1" s="74"/>
      <c r="G1" s="75"/>
    </row>
    <row r="2" spans="1:9" s="9" customFormat="1" ht="18" customHeight="1" x14ac:dyDescent="0.2">
      <c r="A2" s="120" t="s">
        <v>104</v>
      </c>
      <c r="B2" s="120"/>
      <c r="C2" s="120"/>
      <c r="D2" s="120"/>
      <c r="E2" s="26"/>
      <c r="F2" s="26"/>
      <c r="G2" s="27"/>
      <c r="H2" s="28"/>
      <c r="I2" s="28"/>
    </row>
    <row r="3" spans="1:9" s="76" customFormat="1" ht="15" customHeight="1" x14ac:dyDescent="0.2">
      <c r="A3" s="119" t="s">
        <v>61</v>
      </c>
      <c r="B3" s="119"/>
      <c r="C3" s="119"/>
      <c r="D3" s="119"/>
      <c r="E3" s="74"/>
      <c r="F3" s="74"/>
      <c r="G3" s="75"/>
    </row>
    <row r="4" spans="1:9" s="76" customFormat="1" ht="15" customHeight="1" x14ac:dyDescent="0.2">
      <c r="A4" s="119" t="s">
        <v>2</v>
      </c>
      <c r="B4" s="119"/>
      <c r="C4" s="119"/>
      <c r="D4" s="119"/>
      <c r="E4" s="74"/>
      <c r="F4" s="74"/>
      <c r="G4" s="75"/>
    </row>
    <row r="5" spans="1:9" s="76" customFormat="1" ht="15" customHeight="1" x14ac:dyDescent="0.2">
      <c r="A5" s="119" t="str">
        <f>'Summary Load Customers '!A6</f>
        <v>Data as of May 31, 2017</v>
      </c>
      <c r="B5" s="119"/>
      <c r="C5" s="119"/>
      <c r="D5" s="119"/>
      <c r="E5" s="74"/>
      <c r="F5" s="74"/>
      <c r="G5" s="75"/>
    </row>
    <row r="6" spans="1:9" x14ac:dyDescent="0.2">
      <c r="C6" s="78"/>
      <c r="D6" s="78"/>
      <c r="E6" s="78"/>
      <c r="F6" s="78"/>
      <c r="G6" s="78"/>
    </row>
    <row r="7" spans="1:9" s="84" customFormat="1" ht="22.5" x14ac:dyDescent="0.2">
      <c r="A7" s="79" t="s">
        <v>63</v>
      </c>
      <c r="B7" s="80" t="s">
        <v>5</v>
      </c>
      <c r="C7" s="79" t="s">
        <v>6</v>
      </c>
      <c r="D7" s="79" t="s">
        <v>44</v>
      </c>
      <c r="E7" s="81"/>
      <c r="F7" s="81"/>
      <c r="G7" s="82"/>
      <c r="H7" s="83"/>
    </row>
    <row r="8" spans="1:9" x14ac:dyDescent="0.2">
      <c r="A8" s="85" t="s">
        <v>62</v>
      </c>
      <c r="B8" s="86"/>
      <c r="C8" s="87"/>
      <c r="D8" s="88">
        <f>IF(C8=0,0,C8)</f>
        <v>0</v>
      </c>
      <c r="E8" s="78"/>
      <c r="F8" s="78"/>
      <c r="G8" s="89"/>
      <c r="H8" s="78"/>
    </row>
    <row r="9" spans="1:9" x14ac:dyDescent="0.2">
      <c r="A9" s="85" t="s">
        <v>26</v>
      </c>
      <c r="B9" s="87">
        <v>142</v>
      </c>
      <c r="C9" s="87">
        <v>2</v>
      </c>
      <c r="D9" s="88">
        <f>SUM(B9:C9)</f>
        <v>144</v>
      </c>
      <c r="E9" s="90"/>
      <c r="F9" s="90"/>
      <c r="G9" s="89"/>
      <c r="H9" s="78"/>
    </row>
    <row r="10" spans="1:9" x14ac:dyDescent="0.2">
      <c r="A10" s="85" t="s">
        <v>27</v>
      </c>
      <c r="B10" s="87">
        <v>3299</v>
      </c>
      <c r="C10" s="87">
        <v>37</v>
      </c>
      <c r="D10" s="88">
        <f>SUM(B10:C10)</f>
        <v>3336</v>
      </c>
      <c r="E10" s="91"/>
      <c r="F10" s="92"/>
      <c r="G10" s="89"/>
      <c r="H10" s="78"/>
    </row>
    <row r="11" spans="1:9" x14ac:dyDescent="0.2">
      <c r="A11" s="93" t="s">
        <v>7</v>
      </c>
      <c r="B11" s="94">
        <f>IF(B9+B10=0,0,B9+B10)</f>
        <v>3441</v>
      </c>
      <c r="C11" s="94">
        <f>IF(SUM(C8:C10)=0,0,SUM(C8:C10))</f>
        <v>39</v>
      </c>
      <c r="D11" s="94">
        <f>IF(SUM(D8:D10)=0,0,SUM(D8:D10))</f>
        <v>3480</v>
      </c>
      <c r="E11" s="91"/>
      <c r="F11" s="92"/>
      <c r="G11" s="89"/>
      <c r="H11" s="78"/>
    </row>
    <row r="12" spans="1:9" x14ac:dyDescent="0.2">
      <c r="A12" s="78"/>
      <c r="B12" s="95"/>
      <c r="C12" s="95"/>
      <c r="D12" s="95"/>
      <c r="E12" s="91"/>
      <c r="F12" s="92"/>
      <c r="G12" s="96"/>
      <c r="H12" s="78"/>
    </row>
    <row r="13" spans="1:9" ht="22.5" x14ac:dyDescent="0.2">
      <c r="A13" s="79" t="s">
        <v>66</v>
      </c>
      <c r="B13" s="79" t="s">
        <v>5</v>
      </c>
      <c r="C13" s="79" t="str">
        <f>C7</f>
        <v>Business</v>
      </c>
      <c r="D13" s="79" t="s">
        <v>44</v>
      </c>
      <c r="E13" s="97"/>
      <c r="F13" s="98"/>
      <c r="G13" s="96"/>
      <c r="H13" s="78"/>
    </row>
    <row r="14" spans="1:9" x14ac:dyDescent="0.2">
      <c r="A14" s="85" t="s">
        <v>62</v>
      </c>
      <c r="B14" s="86"/>
      <c r="C14" s="87"/>
      <c r="D14" s="88">
        <f>IF(C14=0,0,C14)</f>
        <v>0</v>
      </c>
      <c r="E14" s="78"/>
      <c r="F14" s="78"/>
      <c r="G14" s="96"/>
      <c r="H14" s="78"/>
    </row>
    <row r="15" spans="1:9" x14ac:dyDescent="0.2">
      <c r="A15" s="85" t="s">
        <v>26</v>
      </c>
      <c r="B15" s="87">
        <v>3</v>
      </c>
      <c r="C15" s="87">
        <v>0</v>
      </c>
      <c r="D15" s="88">
        <f>SUM(B15:C15)</f>
        <v>3</v>
      </c>
      <c r="E15" s="90"/>
      <c r="F15" s="90"/>
      <c r="G15" s="89"/>
      <c r="H15" s="78"/>
    </row>
    <row r="16" spans="1:9" x14ac:dyDescent="0.2">
      <c r="A16" s="85" t="s">
        <v>27</v>
      </c>
      <c r="B16" s="87">
        <v>574</v>
      </c>
      <c r="C16" s="87">
        <v>2</v>
      </c>
      <c r="D16" s="88">
        <f>SUM(B16:C16)</f>
        <v>576</v>
      </c>
      <c r="E16" s="91"/>
      <c r="F16" s="92"/>
      <c r="G16" s="89"/>
      <c r="H16" s="78"/>
    </row>
    <row r="17" spans="1:8" x14ac:dyDescent="0.2">
      <c r="A17" s="93" t="str">
        <f>A11</f>
        <v>Total</v>
      </c>
      <c r="B17" s="94">
        <f>IF(B15+B16=0,0,B15+B16)</f>
        <v>577</v>
      </c>
      <c r="C17" s="94">
        <f>IF(SUM(C14:C16)=0,0,SUM(C14:C16))</f>
        <v>2</v>
      </c>
      <c r="D17" s="94">
        <f>IF(SUM(D14:D16)=0,0,SUM(D14:D16))</f>
        <v>579</v>
      </c>
      <c r="E17" s="91"/>
      <c r="F17" s="92"/>
      <c r="G17" s="89"/>
      <c r="H17" s="78"/>
    </row>
    <row r="18" spans="1:8" x14ac:dyDescent="0.2">
      <c r="A18" s="78"/>
      <c r="B18" s="78"/>
      <c r="C18" s="78"/>
      <c r="D18" s="78"/>
      <c r="E18" s="91"/>
      <c r="F18" s="92"/>
      <c r="G18" s="96"/>
      <c r="H18" s="78"/>
    </row>
    <row r="19" spans="1:8" ht="22.5" x14ac:dyDescent="0.2">
      <c r="A19" s="79" t="s">
        <v>67</v>
      </c>
      <c r="B19" s="79" t="s">
        <v>5</v>
      </c>
      <c r="C19" s="79" t="str">
        <f>C7</f>
        <v>Business</v>
      </c>
      <c r="D19" s="79" t="s">
        <v>44</v>
      </c>
      <c r="E19" s="97"/>
      <c r="F19" s="98"/>
      <c r="G19" s="96"/>
      <c r="H19" s="78"/>
    </row>
    <row r="20" spans="1:8" x14ac:dyDescent="0.2">
      <c r="A20" s="85" t="s">
        <v>62</v>
      </c>
      <c r="B20" s="86"/>
      <c r="C20" s="99">
        <f t="shared" ref="C20:D21" si="0">IF(C8+C14=0,0,C8+C14)</f>
        <v>0</v>
      </c>
      <c r="D20" s="88"/>
      <c r="E20" s="96"/>
      <c r="F20" s="96"/>
      <c r="G20" s="96"/>
      <c r="H20" s="78"/>
    </row>
    <row r="21" spans="1:8" x14ac:dyDescent="0.2">
      <c r="A21" s="85" t="s">
        <v>26</v>
      </c>
      <c r="B21" s="99">
        <f>IF(B9+B15=0,0,B9+B15)</f>
        <v>145</v>
      </c>
      <c r="C21" s="99">
        <f>IF(C9+C15=0,0,C9+C15)</f>
        <v>2</v>
      </c>
      <c r="D21" s="88">
        <f t="shared" si="0"/>
        <v>147</v>
      </c>
      <c r="E21" s="89"/>
      <c r="F21" s="96"/>
      <c r="G21" s="96"/>
      <c r="H21" s="78"/>
    </row>
    <row r="22" spans="1:8" x14ac:dyDescent="0.2">
      <c r="A22" s="85" t="s">
        <v>27</v>
      </c>
      <c r="B22" s="99">
        <f>IF(B10+B16=0,0,B10+B16)</f>
        <v>3873</v>
      </c>
      <c r="C22" s="99">
        <f>IF(C10+C16=0,0,C10+C16)</f>
        <v>39</v>
      </c>
      <c r="D22" s="88">
        <f>IF(D10+D16=0,0,D10+D16)</f>
        <v>3912</v>
      </c>
      <c r="E22" s="78"/>
      <c r="F22" s="96"/>
      <c r="G22" s="96"/>
      <c r="H22" s="78"/>
    </row>
    <row r="23" spans="1:8" x14ac:dyDescent="0.2">
      <c r="A23" s="93" t="str">
        <f>A11</f>
        <v>Total</v>
      </c>
      <c r="B23" s="94">
        <f>IF(B21+B22=0,0,B21+B22)</f>
        <v>4018</v>
      </c>
      <c r="C23" s="94">
        <f>IF(SUM(C20:C22)=0,0,SUM(C20:C22))</f>
        <v>41</v>
      </c>
      <c r="D23" s="94">
        <f>SUM(D20:D22)</f>
        <v>4059</v>
      </c>
      <c r="E23" s="78"/>
      <c r="F23" s="96"/>
      <c r="G23" s="96"/>
      <c r="H23" s="78"/>
    </row>
    <row r="24" spans="1:8" x14ac:dyDescent="0.2">
      <c r="B24" s="78"/>
      <c r="C24" s="78"/>
      <c r="E24" s="78"/>
      <c r="F24" s="96"/>
      <c r="G24" s="96"/>
      <c r="H24" s="78"/>
    </row>
    <row r="25" spans="1:8" ht="22.5" x14ac:dyDescent="0.2">
      <c r="A25" s="79" t="s">
        <v>64</v>
      </c>
      <c r="B25" s="79" t="s">
        <v>5</v>
      </c>
      <c r="C25" s="79" t="s">
        <v>6</v>
      </c>
      <c r="D25" s="79" t="s">
        <v>44</v>
      </c>
    </row>
    <row r="26" spans="1:8" x14ac:dyDescent="0.2">
      <c r="A26" s="85" t="s">
        <v>62</v>
      </c>
      <c r="B26" s="86"/>
      <c r="C26" s="99">
        <f>IF(C14+C20=0,0,C14+C20)</f>
        <v>0</v>
      </c>
      <c r="D26" s="88">
        <f>IF(C26=0,0,C26)</f>
        <v>0</v>
      </c>
    </row>
    <row r="27" spans="1:8" x14ac:dyDescent="0.2">
      <c r="A27" s="85" t="s">
        <v>26</v>
      </c>
      <c r="B27" s="87">
        <v>202</v>
      </c>
      <c r="C27" s="87">
        <v>11</v>
      </c>
      <c r="D27" s="88">
        <f>SUM(B27:C27)</f>
        <v>213</v>
      </c>
    </row>
    <row r="28" spans="1:8" x14ac:dyDescent="0.2">
      <c r="A28" s="85" t="s">
        <v>27</v>
      </c>
      <c r="B28" s="87">
        <v>515</v>
      </c>
      <c r="C28" s="87">
        <v>50</v>
      </c>
      <c r="D28" s="88">
        <f>SUM(B28:C28)</f>
        <v>565</v>
      </c>
    </row>
    <row r="29" spans="1:8" x14ac:dyDescent="0.2">
      <c r="A29" s="93" t="str">
        <f>A23</f>
        <v>Total</v>
      </c>
      <c r="B29" s="94">
        <f>IF(B27+B28=0,0,B27+B28)</f>
        <v>717</v>
      </c>
      <c r="C29" s="94">
        <f>IF(SUM(C26:C28)=0,0,SUM(C26:C28))</f>
        <v>61</v>
      </c>
      <c r="D29" s="94">
        <f>IF(SUM(D26:D28)=0,0,SUM(D26:D28))</f>
        <v>778</v>
      </c>
    </row>
    <row r="31" spans="1:8" x14ac:dyDescent="0.2">
      <c r="A31" s="79" t="s">
        <v>65</v>
      </c>
      <c r="B31" s="79" t="s">
        <v>5</v>
      </c>
      <c r="C31" s="79" t="str">
        <f>C19</f>
        <v>Business</v>
      </c>
      <c r="D31" s="79" t="s">
        <v>44</v>
      </c>
    </row>
    <row r="32" spans="1:8" x14ac:dyDescent="0.2">
      <c r="A32" s="85" t="s">
        <v>62</v>
      </c>
      <c r="B32" s="86"/>
      <c r="C32" s="99">
        <f t="shared" ref="C32:D34" si="1">C20+C26</f>
        <v>0</v>
      </c>
      <c r="D32" s="88">
        <f t="shared" si="1"/>
        <v>0</v>
      </c>
    </row>
    <row r="33" spans="1:7" x14ac:dyDescent="0.2">
      <c r="A33" s="85" t="s">
        <v>26</v>
      </c>
      <c r="B33" s="99">
        <f>B21+B27</f>
        <v>347</v>
      </c>
      <c r="C33" s="99">
        <f t="shared" si="1"/>
        <v>13</v>
      </c>
      <c r="D33" s="88">
        <f t="shared" si="1"/>
        <v>360</v>
      </c>
      <c r="E33" s="78"/>
      <c r="F33" s="78"/>
      <c r="G33" s="78"/>
    </row>
    <row r="34" spans="1:7" x14ac:dyDescent="0.2">
      <c r="A34" s="85" t="s">
        <v>27</v>
      </c>
      <c r="B34" s="99">
        <f>B22+B28</f>
        <v>4388</v>
      </c>
      <c r="C34" s="99">
        <f t="shared" si="1"/>
        <v>89</v>
      </c>
      <c r="D34" s="88">
        <f t="shared" si="1"/>
        <v>4477</v>
      </c>
    </row>
    <row r="35" spans="1:7" x14ac:dyDescent="0.2">
      <c r="A35" s="93" t="str">
        <f>A29</f>
        <v>Total</v>
      </c>
      <c r="B35" s="94">
        <f>IF(B33+B34=0,0,B33+B34)</f>
        <v>4735</v>
      </c>
      <c r="C35" s="94">
        <f>IF(SUM(C32:C34)=0,0,SUM(C32:C34))</f>
        <v>102</v>
      </c>
      <c r="D35" s="94">
        <f>SUM(D32:D34)</f>
        <v>4837</v>
      </c>
    </row>
    <row r="37" spans="1:7" x14ac:dyDescent="0.2">
      <c r="A37" s="100" t="str">
        <f>"In summary, "&amp;TEXT($D$23,"0,000")&amp; " of UI's customers are participating in the CTCleanEnergyOptions Program"</f>
        <v>In summary, 4,059 of UI's customers are participating in the CTCleanEnergyOptions Program</v>
      </c>
    </row>
    <row r="38" spans="1:7" x14ac:dyDescent="0.2">
      <c r="A38" s="100" t="str">
        <f>"In summary, "&amp;TEXT($D$29,"000")&amp; " of UI's customers are participating in RECs only with Sterling Planet"</f>
        <v>In summary, 778 of UI's customers are participating in RECs only with Sterling Planet</v>
      </c>
    </row>
    <row r="39" spans="1:7" x14ac:dyDescent="0.2">
      <c r="A39" s="100" t="str">
        <f>"In summary, "&amp;TEXT($D$35,"0,000")&amp; " of UI's customers are participating in all REC programs"</f>
        <v>In summary, 4,837 of UI's customers are participating in all REC programs</v>
      </c>
    </row>
    <row r="41" spans="1:7" x14ac:dyDescent="0.2">
      <c r="A41" s="101" t="s">
        <v>32</v>
      </c>
    </row>
    <row r="42" spans="1:7" x14ac:dyDescent="0.2">
      <c r="A42" s="78" t="s">
        <v>28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2017-02-17T16:26:50Z</cp:lastPrinted>
  <dcterms:created xsi:type="dcterms:W3CDTF">2009-03-17T13:14:28Z</dcterms:created>
  <dcterms:modified xsi:type="dcterms:W3CDTF">2017-06-16T16:15:20Z</dcterms:modified>
</cp:coreProperties>
</file>