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2" yWindow="4596" windowWidth="20196" windowHeight="453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E64" i="6" l="1"/>
  <c r="D64" i="6"/>
  <c r="C64" i="6"/>
  <c r="F21" i="7"/>
  <c r="F20" i="7"/>
  <c r="D21" i="7"/>
  <c r="D20" i="7"/>
  <c r="B21" i="7"/>
  <c r="B20" i="7"/>
  <c r="F12" i="7"/>
  <c r="D12" i="7"/>
  <c r="B12" i="7"/>
  <c r="B11" i="7"/>
  <c r="F11" i="7" l="1"/>
  <c r="C11" i="5"/>
  <c r="D11" i="7" l="1"/>
  <c r="A5" i="6"/>
  <c r="F14" i="6" l="1"/>
  <c r="F20" i="6"/>
  <c r="F29" i="6"/>
  <c r="F32" i="6"/>
  <c r="F35" i="6"/>
  <c r="F36" i="6"/>
  <c r="F37" i="6"/>
  <c r="F40" i="6"/>
  <c r="F41" i="6"/>
  <c r="F43" i="6"/>
  <c r="F51" i="6"/>
  <c r="F54" i="6"/>
  <c r="F56" i="6"/>
  <c r="F57" i="6"/>
  <c r="F11" i="6" l="1"/>
  <c r="F15" i="6"/>
  <c r="F19" i="6"/>
  <c r="F23" i="6"/>
  <c r="F27" i="6"/>
  <c r="F31" i="6"/>
  <c r="F39" i="6"/>
  <c r="F47" i="6"/>
  <c r="F55" i="6"/>
  <c r="F59" i="6"/>
  <c r="F63" i="6"/>
  <c r="F12" i="6"/>
  <c r="F16" i="6"/>
  <c r="F24" i="6"/>
  <c r="F28" i="6"/>
  <c r="F44" i="6"/>
  <c r="F48" i="6"/>
  <c r="F52" i="6"/>
  <c r="F60" i="6"/>
  <c r="F13" i="6"/>
  <c r="F17" i="6"/>
  <c r="F21" i="6"/>
  <c r="F25" i="6"/>
  <c r="F33" i="6"/>
  <c r="F45" i="6"/>
  <c r="F49" i="6"/>
  <c r="F53" i="6"/>
  <c r="F61" i="6"/>
  <c r="F10" i="6"/>
  <c r="F18" i="6"/>
  <c r="F22" i="6"/>
  <c r="F26" i="6"/>
  <c r="F30" i="6"/>
  <c r="F34" i="6"/>
  <c r="F38" i="6"/>
  <c r="F42" i="6"/>
  <c r="F46" i="6"/>
  <c r="F50" i="6"/>
  <c r="F58" i="6"/>
  <c r="F62" i="6"/>
  <c r="B21" i="5"/>
  <c r="C21" i="5"/>
  <c r="C33" i="5" s="1"/>
  <c r="C22" i="5"/>
  <c r="C34" i="5" s="1"/>
  <c r="B22" i="5"/>
  <c r="B34" i="5" s="1"/>
  <c r="F9" i="6" l="1"/>
  <c r="F64" i="6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D13" i="7" l="1"/>
  <c r="E12" i="7" s="1"/>
  <c r="H11" i="7"/>
  <c r="H13" i="7" s="1"/>
  <c r="F13" i="7"/>
  <c r="G12" i="7" s="1"/>
  <c r="E11" i="7" l="1"/>
  <c r="I11" i="7"/>
  <c r="A14" i="7" s="1"/>
  <c r="I12" i="7"/>
  <c r="A15" i="7" s="1"/>
  <c r="G11" i="7"/>
</calcChain>
</file>

<file path=xl/sharedStrings.xml><?xml version="1.0" encoding="utf-8"?>
<sst xmlns="http://schemas.openxmlformats.org/spreadsheetml/2006/main" count="177" uniqueCount="111">
  <si>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</si>
  <si>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</si>
  <si>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</si>
  <si>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</si>
  <si>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</si>
  <si>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</si>
  <si>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</si>
  <si>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</si>
  <si>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</si>
  <si>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</si>
  <si>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</si>
  <si>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</si>
  <si>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</si>
  <si>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</si>
  <si>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</si>
  <si>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</si>
  <si>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</si>
  <si>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</si>
  <si>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Integrys Energy Services, Inc.</t>
  </si>
  <si>
    <t>Liberty Power Holdings, LLC</t>
  </si>
  <si>
    <t>Customers</t>
  </si>
  <si>
    <t>Public Power &amp; Utility, Inc.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</si>
  <si>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</si>
  <si>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</si>
  <si>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</si>
  <si>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</si>
  <si>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</si>
  <si>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</si>
  <si>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</si>
  <si>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</si>
  <si>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</si>
  <si>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</si>
  <si>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</si>
  <si>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</si>
  <si>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</si>
  <si>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</si>
  <si>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</si>
  <si>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</si>
  <si>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</si>
  <si>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</si>
  <si>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</si>
  <si>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</si>
  <si>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</si>
  <si>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</si>
  <si>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</si>
  <si>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</si>
  <si>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Discount Power</t>
  </si>
  <si>
    <t>North American Power</t>
  </si>
  <si>
    <t>Starion Energy</t>
  </si>
  <si>
    <t>Choice Energy</t>
  </si>
  <si>
    <t>South Jersey Energy Company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</si>
  <si>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</si>
  <si>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</si>
  <si>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</si>
  <si>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</si>
  <si>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</si>
  <si>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</si>
  <si>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</si>
  <si>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</si>
  <si>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</si>
  <si>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</si>
  <si>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</si>
  <si>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</si>
  <si>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</si>
  <si>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</si>
  <si>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</si>
  <si>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</si>
  <si>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</si>
  <si>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</si>
  <si>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</si>
  <si>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</si>
  <si>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</si>
  <si>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</si>
  <si>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</si>
  <si>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</si>
  <si>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</si>
  <si>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</si>
  <si>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</si>
  <si>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</si>
  <si>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</si>
  <si>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</si>
  <si>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</si>
  <si>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</si>
  <si>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</si>
  <si>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</si>
  <si>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Nextera (F/K/A Gexa Energy Connecticut, LLC)</t>
  </si>
  <si>
    <t>Blue Pilot Energy</t>
  </si>
  <si>
    <t>Mega Energy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</si>
  <si>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</si>
  <si>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</si>
  <si>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</si>
  <si>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</si>
  <si>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</si>
  <si>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</si>
  <si>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</si>
  <si>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</si>
  <si>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Think Energy</t>
  </si>
  <si>
    <t>Attachment 1</t>
  </si>
  <si>
    <t>Agera Energy, LLC</t>
  </si>
  <si>
    <t>BP Energy Company</t>
  </si>
  <si>
    <t>America Wide Energy, LLC</t>
  </si>
  <si>
    <t>Engie Energy Resources Inc. (F/K/A Suez Energy Resources NA)</t>
  </si>
  <si>
    <t>Champion Energy Marketing LLC</t>
  </si>
  <si>
    <t>Ethical Electric Inc.</t>
  </si>
  <si>
    <t>Exelon Generation Company LLC</t>
  </si>
  <si>
    <t>Major Energy Electric Services LLC</t>
  </si>
  <si>
    <t>Calpine Energy Solutions, LLC  ((F/K/A Noble)</t>
  </si>
  <si>
    <t>Everyday Energy, LLC</t>
  </si>
  <si>
    <t>Town Square Energy (F/K/A Community Power)</t>
  </si>
  <si>
    <t>Data as of August 31, 2017</t>
  </si>
  <si>
    <t>Eligo Energy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</si>
</sst>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0" fontId="1" fillId="0" borderId="2" xfId="3" applyFont="1" applyFill="1" applyBorder="1" applyProtection="1"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0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0" fontId="8" fillId="0" borderId="0" xfId="3" applyFont="1" applyFill="1" applyBorder="1" applyProtection="1"/>
    <xf numFmtId="3" fontId="8" fillId="0" borderId="0" xfId="3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8_August_total_load_by_seg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706_August_2017_customer_count_calculation_PS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4">
          <cell r="H24">
            <v>81043.643999999884</v>
          </cell>
        </row>
        <row r="25">
          <cell r="H25">
            <v>180669.72600000072</v>
          </cell>
        </row>
        <row r="26">
          <cell r="H26">
            <v>66452.639999999999</v>
          </cell>
        </row>
        <row r="29">
          <cell r="H29">
            <v>131238.649</v>
          </cell>
        </row>
        <row r="30">
          <cell r="H30">
            <v>39591.488000000027</v>
          </cell>
        </row>
        <row r="31">
          <cell r="H31">
            <v>8283.3599999999988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4"/>
      <sheetName val="Raw no stations "/>
      <sheetName val="For RFP"/>
      <sheetName val="RES"/>
      <sheetName val="C&amp;I"/>
      <sheetName val="LRS"/>
      <sheetName val="Summary"/>
      <sheetName val="Stations"/>
      <sheetName val="Suppliers"/>
      <sheetName val="Sheet3"/>
      <sheetName val="Suppliers codes"/>
      <sheetName val="Sheet2"/>
      <sheetName val="commercial"/>
      <sheetName val="residential"/>
      <sheetName val="sour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104219</v>
          </cell>
        </row>
        <row r="19">
          <cell r="B19">
            <v>22105</v>
          </cell>
        </row>
        <row r="20">
          <cell r="B20">
            <v>230</v>
          </cell>
        </row>
        <row r="22">
          <cell r="B22">
            <v>196416</v>
          </cell>
        </row>
        <row r="23">
          <cell r="B23">
            <v>16755</v>
          </cell>
        </row>
        <row r="24">
          <cell r="B24">
            <v>20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11" sqref="F11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5">
      <c r="A2" s="25" t="s">
        <v>97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5">
      <c r="A3" s="25" t="s">
        <v>51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5">
      <c r="A4" s="25" t="s">
        <v>36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5">
      <c r="A6" s="24" t="s">
        <v>109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5">
      <c r="A8" s="31" t="s">
        <v>39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5">
      <c r="A9" s="3"/>
      <c r="B9" s="34" t="s">
        <v>40</v>
      </c>
      <c r="C9" s="35"/>
      <c r="D9" s="34" t="s">
        <v>8</v>
      </c>
      <c r="E9" s="36"/>
      <c r="F9" s="34" t="s">
        <v>9</v>
      </c>
      <c r="G9" s="37"/>
      <c r="H9" s="34" t="s">
        <v>42</v>
      </c>
      <c r="I9" s="36"/>
    </row>
    <row r="10" spans="1:15" ht="18" customHeight="1" x14ac:dyDescent="0.25">
      <c r="A10" s="39"/>
      <c r="B10" s="40" t="s">
        <v>11</v>
      </c>
      <c r="C10" s="41" t="s">
        <v>29</v>
      </c>
      <c r="D10" s="40" t="str">
        <f>B10</f>
        <v>MWh</v>
      </c>
      <c r="E10" s="41" t="s">
        <v>29</v>
      </c>
      <c r="F10" s="40" t="str">
        <f>D10</f>
        <v>MWh</v>
      </c>
      <c r="G10" s="41" t="s">
        <v>29</v>
      </c>
      <c r="H10" s="40" t="str">
        <f>F10</f>
        <v>MWh</v>
      </c>
      <c r="I10" s="41" t="s">
        <v>28</v>
      </c>
    </row>
    <row r="11" spans="1:15" ht="18" customHeight="1" x14ac:dyDescent="0.25">
      <c r="A11" s="42" t="s">
        <v>13</v>
      </c>
      <c r="B11" s="71">
        <f>[1]Check!$H$24</f>
        <v>81043.643999999884</v>
      </c>
      <c r="C11" s="43">
        <f>IF(B11=0,0,B11/$B$13)</f>
        <v>0.38177298188502196</v>
      </c>
      <c r="D11" s="71">
        <f>[1]Check!$H$25</f>
        <v>180669.72600000072</v>
      </c>
      <c r="E11" s="43">
        <f>IF(D11=0,0,D11/$D$13)</f>
        <v>0.82025211211266691</v>
      </c>
      <c r="F11" s="71">
        <f>[1]Check!$H$26</f>
        <v>66452.639999999999</v>
      </c>
      <c r="G11" s="43">
        <f>IF(F11=0,0,F11/$F$13)</f>
        <v>0.889165061014772</v>
      </c>
      <c r="H11" s="44">
        <f>IF(B11+D11+F11=0,0,B11+D11+F11)</f>
        <v>328166.01000000059</v>
      </c>
      <c r="I11" s="43">
        <f>IF(H11=0,0,H11/$H$13)</f>
        <v>0.64691359590049469</v>
      </c>
    </row>
    <row r="12" spans="1:15" ht="18" customHeight="1" x14ac:dyDescent="0.25">
      <c r="A12" s="42" t="s">
        <v>15</v>
      </c>
      <c r="B12" s="72">
        <f>[1]Check!$H$29</f>
        <v>131238.649</v>
      </c>
      <c r="C12" s="43">
        <f>IF(B12=0,0,B12/$B$13)</f>
        <v>0.61822701811497804</v>
      </c>
      <c r="D12" s="72">
        <f>[1]Check!$H$30</f>
        <v>39591.488000000027</v>
      </c>
      <c r="E12" s="43">
        <f>IF(D12=0,0,D12/$D$13)</f>
        <v>0.17974788788733315</v>
      </c>
      <c r="F12" s="72">
        <f>[1]Check!$H$31</f>
        <v>8283.3599999999988</v>
      </c>
      <c r="G12" s="43">
        <f>IF(F12=0,0,F12/$F$13)</f>
        <v>0.11083493898522799</v>
      </c>
      <c r="H12" s="105">
        <f>IF(B12+D12+F12=0,0,B12+D12+F12)</f>
        <v>179113.49700000003</v>
      </c>
      <c r="I12" s="43">
        <f>IF(H12=0,0,H12/$H$13)</f>
        <v>0.35308640409950526</v>
      </c>
    </row>
    <row r="13" spans="1:15" ht="18" customHeight="1" x14ac:dyDescent="0.25">
      <c r="A13" s="42" t="s">
        <v>16</v>
      </c>
      <c r="B13" s="45">
        <f>SUM(B11:B12)</f>
        <v>212282.29299999989</v>
      </c>
      <c r="C13" s="46"/>
      <c r="D13" s="45">
        <f>SUM(D11:D12)</f>
        <v>220261.21400000073</v>
      </c>
      <c r="E13" s="46"/>
      <c r="F13" s="45">
        <f>SUM(F11:F12)</f>
        <v>74736</v>
      </c>
      <c r="G13" s="46"/>
      <c r="H13" s="45">
        <f>IF(H11+H12=0,0,H11+H12)</f>
        <v>507279.50700000062</v>
      </c>
      <c r="I13" s="47"/>
    </row>
    <row r="14" spans="1:15" ht="18" customHeight="1" x14ac:dyDescent="0.25">
      <c r="A14" s="102" t="str">
        <f>"As the above table shows, "&amp;TEXT(H11,"0,000")&amp; " MWh, or "&amp;TEXT(I11,"0.0%")&amp;" of UI's total load is served by electric suppliers"</f>
        <v>As the above table shows, 328,166 MWh, or 64.7%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179,113 MHh, or 35.3%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3.8" x14ac:dyDescent="0.25">
      <c r="G16" s="52"/>
      <c r="H16" s="30"/>
    </row>
    <row r="17" spans="1:17" ht="18" customHeight="1" x14ac:dyDescent="0.25">
      <c r="A17" s="31" t="s">
        <v>38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40</v>
      </c>
      <c r="C18" s="54"/>
      <c r="D18" s="34" t="s">
        <v>8</v>
      </c>
      <c r="E18" s="55"/>
      <c r="F18" s="34" t="s">
        <v>9</v>
      </c>
      <c r="G18" s="37"/>
      <c r="H18" s="34" t="s">
        <v>42</v>
      </c>
      <c r="I18" s="36"/>
      <c r="O18" s="103"/>
    </row>
    <row r="19" spans="1:17" ht="18" customHeight="1" x14ac:dyDescent="0.25">
      <c r="A19" s="39"/>
      <c r="B19" s="40" t="s">
        <v>20</v>
      </c>
      <c r="C19" s="41" t="s">
        <v>29</v>
      </c>
      <c r="D19" s="40" t="str">
        <f>B19</f>
        <v>Customers</v>
      </c>
      <c r="E19" s="41" t="s">
        <v>29</v>
      </c>
      <c r="F19" s="40" t="str">
        <f>D19</f>
        <v>Customers</v>
      </c>
      <c r="G19" s="41" t="s">
        <v>29</v>
      </c>
      <c r="H19" s="40" t="str">
        <f>F19</f>
        <v>Customers</v>
      </c>
      <c r="I19" s="41" t="s">
        <v>28</v>
      </c>
    </row>
    <row r="20" spans="1:17" ht="18" customHeight="1" x14ac:dyDescent="0.25">
      <c r="A20" s="42" t="str">
        <f>A11</f>
        <v>Suppliers</v>
      </c>
      <c r="B20" s="71">
        <f>[2]Summary!$B$18</f>
        <v>104219</v>
      </c>
      <c r="C20" s="43">
        <f>IF(B20=0,0,B20/$B$22)</f>
        <v>0.34666289686829543</v>
      </c>
      <c r="D20" s="71">
        <f>[2]Summary!$B$19</f>
        <v>22105</v>
      </c>
      <c r="E20" s="56">
        <f>IF(D20=0,0,D20/$D$22)</f>
        <v>0.56883685023160058</v>
      </c>
      <c r="F20" s="71">
        <f>[2]Summary!$B$20</f>
        <v>230</v>
      </c>
      <c r="G20" s="43">
        <f>IF(F20=0,0,F20/$F$22)</f>
        <v>0.92</v>
      </c>
      <c r="H20" s="44">
        <f>IF(B20+D20+F20=0,0,B20+D20+F20)</f>
        <v>126554</v>
      </c>
      <c r="I20" s="43">
        <f>IF(H20=0,0,H20/$H$22)</f>
        <v>0.37249701982369132</v>
      </c>
      <c r="J20" s="57"/>
      <c r="M20" s="104"/>
    </row>
    <row r="21" spans="1:17" ht="18" customHeight="1" x14ac:dyDescent="0.25">
      <c r="A21" s="42" t="str">
        <f>A12</f>
        <v>UI</v>
      </c>
      <c r="B21" s="72">
        <f>[2]Summary!$B$22</f>
        <v>196416</v>
      </c>
      <c r="C21" s="43">
        <f>IF(B21=0,0,B21/$B$22)</f>
        <v>0.65333710313170457</v>
      </c>
      <c r="D21" s="72">
        <f>[2]Summary!$B$23</f>
        <v>16755</v>
      </c>
      <c r="E21" s="56">
        <f>IF(D21=0,0,D21/$D$22)</f>
        <v>0.43116314976839937</v>
      </c>
      <c r="F21" s="72">
        <f>[2]Summary!$B$24</f>
        <v>20</v>
      </c>
      <c r="G21" s="43">
        <f>IF(F21=0,0,F21/$F$22)</f>
        <v>0.08</v>
      </c>
      <c r="H21" s="72">
        <f>IF(B21+D21+F21=0,0,B21+D21+F21)</f>
        <v>213191</v>
      </c>
      <c r="I21" s="43">
        <f>IF(H21=0,0,H21/$H$22)</f>
        <v>0.62750298017630868</v>
      </c>
    </row>
    <row r="22" spans="1:17" ht="18" customHeight="1" x14ac:dyDescent="0.25">
      <c r="A22" s="42" t="str">
        <f>A13</f>
        <v xml:space="preserve">     Total</v>
      </c>
      <c r="B22" s="45">
        <f>SUM(B20:B21)</f>
        <v>300635</v>
      </c>
      <c r="C22" s="58"/>
      <c r="D22" s="45">
        <f>SUM(D20:D21)</f>
        <v>38860</v>
      </c>
      <c r="E22" s="46"/>
      <c r="F22" s="45">
        <f>SUM(F20:F21)</f>
        <v>250</v>
      </c>
      <c r="G22" s="46"/>
      <c r="H22" s="45">
        <f>IF(H20+H21=0,0,H20+H21)</f>
        <v>339745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126,554 of UI's total customers, or 37.2%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213,191 or 62.8%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8" x14ac:dyDescent="0.25">
      <c r="A28" s="69" t="s">
        <v>37</v>
      </c>
      <c r="I28" s="104"/>
    </row>
    <row r="29" spans="1:17" ht="13.8" x14ac:dyDescent="0.25">
      <c r="A29" s="69" t="s">
        <v>41</v>
      </c>
    </row>
    <row r="30" spans="1:17" ht="13.8" x14ac:dyDescent="0.25">
      <c r="A30" s="69" t="s">
        <v>73</v>
      </c>
    </row>
    <row r="31" spans="1:17" x14ac:dyDescent="0.25">
      <c r="A31" s="70" t="s">
        <v>27</v>
      </c>
    </row>
    <row r="32" spans="1:17" x14ac:dyDescent="0.25">
      <c r="A32" s="70" t="s">
        <v>33</v>
      </c>
    </row>
    <row r="36" spans="1:1" x14ac:dyDescent="0.25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showGridLines="0" showZeros="0" topLeftCell="A31" zoomScaleNormal="100" workbookViewId="0">
      <selection activeCell="E65" sqref="E65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9" customFormat="1" ht="18" customHeight="1" x14ac:dyDescent="0.25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5">
      <c r="A2" s="122" t="s">
        <v>97</v>
      </c>
      <c r="B2" s="122"/>
      <c r="C2" s="122"/>
      <c r="D2" s="122"/>
      <c r="E2" s="122"/>
      <c r="F2" s="122"/>
      <c r="G2" s="27"/>
      <c r="H2" s="28"/>
      <c r="I2" s="28"/>
    </row>
    <row r="3" spans="1:11" s="9" customFormat="1" ht="18" customHeight="1" x14ac:dyDescent="0.25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5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5">
      <c r="A5" s="10" t="str">
        <f>'Summary Load Customers '!A6</f>
        <v>Data as of August 31,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5">
      <c r="A6" s="17"/>
      <c r="B6" s="6"/>
      <c r="C6" s="18"/>
      <c r="D6" s="18"/>
      <c r="E6" s="12"/>
      <c r="F6" s="12"/>
    </row>
    <row r="7" spans="1:11" s="9" customFormat="1" ht="18" customHeight="1" x14ac:dyDescent="0.25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6.4" x14ac:dyDescent="0.25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34</v>
      </c>
    </row>
    <row r="9" spans="1:11" ht="14.25" customHeight="1" x14ac:dyDescent="0.25">
      <c r="A9" s="108">
        <v>1</v>
      </c>
      <c r="B9" s="109" t="s">
        <v>82</v>
      </c>
      <c r="C9" s="110">
        <v>4</v>
      </c>
      <c r="D9" s="110">
        <v>0</v>
      </c>
      <c r="E9" s="113">
        <v>4</v>
      </c>
      <c r="F9" s="23">
        <f>IF(E9=0,"",E9/$E$64)</f>
        <v>1.5803530508715646E-5</v>
      </c>
    </row>
    <row r="10" spans="1:11" ht="14.25" customHeight="1" x14ac:dyDescent="0.25">
      <c r="A10" s="108">
        <v>2</v>
      </c>
      <c r="B10" s="109" t="s">
        <v>81</v>
      </c>
      <c r="C10" s="110">
        <v>369</v>
      </c>
      <c r="D10" s="110">
        <v>300</v>
      </c>
      <c r="E10" s="113">
        <v>669</v>
      </c>
      <c r="F10" s="23">
        <f>IF(E10=0,"",E10/$E$64)</f>
        <v>2.6431404775826921E-3</v>
      </c>
    </row>
    <row r="11" spans="1:11" ht="14.25" customHeight="1" x14ac:dyDescent="0.25">
      <c r="A11" s="108">
        <v>3</v>
      </c>
      <c r="B11" s="109" t="s">
        <v>98</v>
      </c>
      <c r="C11" s="110">
        <v>527</v>
      </c>
      <c r="D11" s="110">
        <v>709</v>
      </c>
      <c r="E11" s="113">
        <v>1236</v>
      </c>
      <c r="F11" s="23">
        <f>IF(E11=0,"",E11/$E$64)</f>
        <v>4.883290927193135E-3</v>
      </c>
    </row>
    <row r="12" spans="1:11" ht="14.25" customHeight="1" x14ac:dyDescent="0.25">
      <c r="A12" s="108">
        <v>4</v>
      </c>
      <c r="B12" s="109" t="s">
        <v>76</v>
      </c>
      <c r="C12" s="110">
        <v>9948</v>
      </c>
      <c r="D12" s="110">
        <v>762</v>
      </c>
      <c r="E12" s="113">
        <v>10710</v>
      </c>
      <c r="F12" s="23">
        <f>IF(E12=0,"",E12/$E$64)</f>
        <v>4.2313952937086147E-2</v>
      </c>
    </row>
    <row r="13" spans="1:11" ht="14.25" customHeight="1" x14ac:dyDescent="0.25">
      <c r="A13" s="108">
        <v>5</v>
      </c>
      <c r="B13" s="109" t="s">
        <v>100</v>
      </c>
      <c r="C13" s="110">
        <v>1</v>
      </c>
      <c r="D13" s="110">
        <v>12</v>
      </c>
      <c r="E13" s="113">
        <v>13</v>
      </c>
      <c r="F13" s="23">
        <f>IF(E13=0,"",E13/$E$64)</f>
        <v>5.1361474153325854E-5</v>
      </c>
    </row>
    <row r="14" spans="1:11" ht="14.25" customHeight="1" x14ac:dyDescent="0.25">
      <c r="A14" s="108">
        <v>6</v>
      </c>
      <c r="B14" s="109" t="s">
        <v>86</v>
      </c>
      <c r="C14" s="110">
        <v>0</v>
      </c>
      <c r="D14" s="110">
        <v>0</v>
      </c>
      <c r="E14" s="113">
        <v>0</v>
      </c>
      <c r="F14" s="23" t="str">
        <f>IF(E14=0,"",E14/$E$64)</f>
        <v/>
      </c>
    </row>
    <row r="15" spans="1:11" ht="14.25" customHeight="1" x14ac:dyDescent="0.25">
      <c r="A15" s="108">
        <v>7</v>
      </c>
      <c r="B15" s="114" t="s">
        <v>95</v>
      </c>
      <c r="C15" s="110">
        <v>4</v>
      </c>
      <c r="D15" s="110">
        <v>171</v>
      </c>
      <c r="E15" s="113">
        <v>175</v>
      </c>
      <c r="F15" s="23">
        <f>IF(E15=0,"",E15/$E$64)</f>
        <v>6.9140445975630958E-4</v>
      </c>
    </row>
    <row r="16" spans="1:11" ht="14.25" customHeight="1" x14ac:dyDescent="0.25">
      <c r="A16" s="108">
        <v>8</v>
      </c>
      <c r="B16" s="111" t="s">
        <v>99</v>
      </c>
      <c r="C16" s="110">
        <v>191</v>
      </c>
      <c r="D16" s="110">
        <v>199</v>
      </c>
      <c r="E16" s="113">
        <v>390</v>
      </c>
      <c r="F16" s="23">
        <f>IF(E16=0,"",E16/$E$64)</f>
        <v>1.5408442245997756E-3</v>
      </c>
    </row>
    <row r="17" spans="1:6" ht="14.25" customHeight="1" x14ac:dyDescent="0.25">
      <c r="A17" s="108">
        <v>9</v>
      </c>
      <c r="B17" s="109" t="s">
        <v>106</v>
      </c>
      <c r="C17" s="110">
        <v>17</v>
      </c>
      <c r="D17" s="110">
        <v>3051</v>
      </c>
      <c r="E17" s="113">
        <v>3068</v>
      </c>
      <c r="F17" s="23">
        <f>IF(E17=0,"",E17/$E$64)</f>
        <v>1.2121307900184902E-2</v>
      </c>
    </row>
    <row r="18" spans="1:6" ht="14.25" customHeight="1" x14ac:dyDescent="0.25">
      <c r="A18" s="108">
        <v>10</v>
      </c>
      <c r="B18" s="111" t="s">
        <v>102</v>
      </c>
      <c r="C18" s="110">
        <v>0</v>
      </c>
      <c r="D18" s="110">
        <v>24</v>
      </c>
      <c r="E18" s="113">
        <v>24</v>
      </c>
      <c r="F18" s="23">
        <f>IF(E18=0,"",E18/$E$64)</f>
        <v>9.4821183052293883E-5</v>
      </c>
    </row>
    <row r="19" spans="1:6" ht="14.25" customHeight="1" x14ac:dyDescent="0.25">
      <c r="A19" s="108">
        <v>11</v>
      </c>
      <c r="B19" s="109" t="s">
        <v>49</v>
      </c>
      <c r="C19" s="110">
        <v>803</v>
      </c>
      <c r="D19" s="110">
        <v>19</v>
      </c>
      <c r="E19" s="113">
        <v>822</v>
      </c>
      <c r="F19" s="23">
        <f>IF(E19=0,"",E19/$E$64)</f>
        <v>3.2476255195410656E-3</v>
      </c>
    </row>
    <row r="20" spans="1:6" ht="14.25" customHeight="1" x14ac:dyDescent="0.25">
      <c r="A20" s="108">
        <v>12</v>
      </c>
      <c r="B20" s="109" t="s">
        <v>10</v>
      </c>
      <c r="C20" s="110">
        <v>4355</v>
      </c>
      <c r="D20" s="110">
        <v>28</v>
      </c>
      <c r="E20" s="113">
        <v>4383</v>
      </c>
      <c r="F20" s="23">
        <f>IF(E20=0,"",E20/$E$64)</f>
        <v>1.731671855492517E-2</v>
      </c>
    </row>
    <row r="21" spans="1:6" ht="14.25" customHeight="1" x14ac:dyDescent="0.25">
      <c r="A21" s="108">
        <v>13</v>
      </c>
      <c r="B21" s="109" t="s">
        <v>12</v>
      </c>
      <c r="C21" s="110">
        <v>95</v>
      </c>
      <c r="D21" s="110">
        <v>346</v>
      </c>
      <c r="E21" s="113">
        <v>441</v>
      </c>
      <c r="F21" s="23">
        <f>IF(E21=0,"",E21/$E$64)</f>
        <v>1.7423392385859E-3</v>
      </c>
    </row>
    <row r="22" spans="1:6" ht="14.25" customHeight="1" x14ac:dyDescent="0.25">
      <c r="A22" s="108">
        <v>14</v>
      </c>
      <c r="B22" s="109" t="s">
        <v>78</v>
      </c>
      <c r="C22" s="110">
        <v>35</v>
      </c>
      <c r="D22" s="110">
        <v>61</v>
      </c>
      <c r="E22" s="113">
        <v>96</v>
      </c>
      <c r="F22" s="23">
        <f>IF(E22=0,"",E22/$E$64)</f>
        <v>3.7928473220917553E-4</v>
      </c>
    </row>
    <row r="23" spans="1:6" ht="14.25" customHeight="1" x14ac:dyDescent="0.25">
      <c r="A23" s="108">
        <v>15</v>
      </c>
      <c r="B23" s="109" t="s">
        <v>14</v>
      </c>
      <c r="C23" s="110">
        <v>335</v>
      </c>
      <c r="D23" s="110">
        <v>3024</v>
      </c>
      <c r="E23" s="113">
        <v>3359</v>
      </c>
      <c r="F23" s="23">
        <f>IF(E23=0,"",E23/$E$64)</f>
        <v>1.3271014744693964E-2</v>
      </c>
    </row>
    <row r="24" spans="1:6" ht="14.25" customHeight="1" x14ac:dyDescent="0.25">
      <c r="A24" s="108">
        <v>16</v>
      </c>
      <c r="B24" s="109" t="s">
        <v>75</v>
      </c>
      <c r="C24" s="110">
        <v>852</v>
      </c>
      <c r="D24" s="110">
        <v>114</v>
      </c>
      <c r="E24" s="113">
        <v>966</v>
      </c>
      <c r="F24" s="23">
        <f>IF(E24=0,"",E24/$E$64)</f>
        <v>3.8165526178548289E-3</v>
      </c>
    </row>
    <row r="25" spans="1:6" ht="14.25" customHeight="1" x14ac:dyDescent="0.25">
      <c r="A25" s="108">
        <v>17</v>
      </c>
      <c r="B25" s="109" t="s">
        <v>89</v>
      </c>
      <c r="C25" s="110">
        <v>87</v>
      </c>
      <c r="D25" s="110">
        <v>1448</v>
      </c>
      <c r="E25" s="113">
        <v>1535</v>
      </c>
      <c r="F25" s="23">
        <f>IF(E25=0,"",E25/$E$64)</f>
        <v>6.0646048327196297E-3</v>
      </c>
    </row>
    <row r="26" spans="1:6" ht="14.25" customHeight="1" x14ac:dyDescent="0.25">
      <c r="A26" s="108">
        <v>18</v>
      </c>
      <c r="B26" s="109" t="s">
        <v>90</v>
      </c>
      <c r="C26" s="110">
        <v>12267</v>
      </c>
      <c r="D26" s="110">
        <v>3084</v>
      </c>
      <c r="E26" s="113">
        <v>15351</v>
      </c>
      <c r="F26" s="23">
        <f>IF(E26=0,"",E26/$E$64)</f>
        <v>6.0649999209823474E-2</v>
      </c>
    </row>
    <row r="27" spans="1:6" ht="14.25" customHeight="1" x14ac:dyDescent="0.25">
      <c r="A27" s="108">
        <v>19</v>
      </c>
      <c r="B27" s="109" t="s">
        <v>46</v>
      </c>
      <c r="C27" s="110">
        <v>5380</v>
      </c>
      <c r="D27" s="110">
        <v>345</v>
      </c>
      <c r="E27" s="113">
        <v>5725</v>
      </c>
      <c r="F27" s="23">
        <f>IF(E27=0,"",E27/$E$64)</f>
        <v>2.261880304059927E-2</v>
      </c>
    </row>
    <row r="28" spans="1:6" ht="14.25" customHeight="1" x14ac:dyDescent="0.25">
      <c r="A28" s="108">
        <v>20</v>
      </c>
      <c r="B28" s="111" t="s">
        <v>110</v>
      </c>
      <c r="C28" s="110">
        <v>4</v>
      </c>
      <c r="D28" s="110">
        <v>7</v>
      </c>
      <c r="E28" s="113">
        <v>11</v>
      </c>
      <c r="F28" s="23">
        <f>IF(E28=0,"",E28/$E$64)</f>
        <v>4.3459708898968029E-5</v>
      </c>
    </row>
    <row r="29" spans="1:6" ht="14.25" customHeight="1" x14ac:dyDescent="0.25">
      <c r="A29" s="108">
        <v>21</v>
      </c>
      <c r="B29" s="109" t="s">
        <v>84</v>
      </c>
      <c r="C29" s="110">
        <v>0</v>
      </c>
      <c r="D29" s="110">
        <v>0</v>
      </c>
      <c r="E29" s="113">
        <v>0</v>
      </c>
      <c r="F29" s="23" t="str">
        <f>IF(E29=0,"",E29/$E$64)</f>
        <v/>
      </c>
    </row>
    <row r="30" spans="1:6" ht="14.25" customHeight="1" x14ac:dyDescent="0.25">
      <c r="A30" s="108">
        <v>22</v>
      </c>
      <c r="B30" s="111" t="s">
        <v>43</v>
      </c>
      <c r="C30" s="110">
        <v>661</v>
      </c>
      <c r="D30" s="110">
        <v>148</v>
      </c>
      <c r="E30" s="113">
        <v>809</v>
      </c>
      <c r="F30" s="23">
        <f>IF(E30=0,"",E30/$E$64)</f>
        <v>3.1962640453877394E-3</v>
      </c>
    </row>
    <row r="31" spans="1:6" ht="14.25" customHeight="1" x14ac:dyDescent="0.25">
      <c r="A31" s="108">
        <v>23</v>
      </c>
      <c r="B31" s="109" t="s">
        <v>101</v>
      </c>
      <c r="C31" s="110">
        <v>90</v>
      </c>
      <c r="D31" s="110">
        <v>654</v>
      </c>
      <c r="E31" s="113">
        <v>744</v>
      </c>
      <c r="F31" s="23">
        <f>IF(E31=0,"",E31/$E$64)</f>
        <v>2.9394566746211103E-3</v>
      </c>
    </row>
    <row r="32" spans="1:6" ht="14.25" customHeight="1" x14ac:dyDescent="0.25">
      <c r="A32" s="108">
        <v>24</v>
      </c>
      <c r="B32" s="111" t="s">
        <v>103</v>
      </c>
      <c r="C32" s="110">
        <v>0</v>
      </c>
      <c r="D32" s="110">
        <v>0</v>
      </c>
      <c r="E32" s="113">
        <v>0</v>
      </c>
      <c r="F32" s="23" t="str">
        <f>IF(E32=0,"",E32/$E$64)</f>
        <v/>
      </c>
    </row>
    <row r="33" spans="1:6" ht="14.25" customHeight="1" x14ac:dyDescent="0.25">
      <c r="A33" s="108">
        <v>25</v>
      </c>
      <c r="B33" s="111" t="s">
        <v>107</v>
      </c>
      <c r="C33" s="110">
        <v>3</v>
      </c>
      <c r="D33" s="110">
        <v>0</v>
      </c>
      <c r="E33" s="113">
        <v>3</v>
      </c>
      <c r="F33" s="23">
        <f>IF(E33=0,"",E33/$E$64)</f>
        <v>1.1852647881536735E-5</v>
      </c>
    </row>
    <row r="34" spans="1:6" ht="14.25" customHeight="1" x14ac:dyDescent="0.25">
      <c r="A34" s="108">
        <v>26</v>
      </c>
      <c r="B34" s="111" t="s">
        <v>104</v>
      </c>
      <c r="C34" s="110">
        <v>12106</v>
      </c>
      <c r="D34" s="110">
        <v>656</v>
      </c>
      <c r="E34" s="113">
        <v>12762</v>
      </c>
      <c r="F34" s="23">
        <f>IF(E34=0,"",E34/$E$64)</f>
        <v>5.0421164088057274E-2</v>
      </c>
    </row>
    <row r="35" spans="1:6" ht="14.25" customHeight="1" x14ac:dyDescent="0.25">
      <c r="A35" s="108">
        <v>27</v>
      </c>
      <c r="B35" s="109" t="s">
        <v>17</v>
      </c>
      <c r="C35" s="110">
        <v>0</v>
      </c>
      <c r="D35" s="110">
        <v>0</v>
      </c>
      <c r="E35" s="113">
        <v>0</v>
      </c>
      <c r="F35" s="23" t="str">
        <f>IF(E35=0,"",E35/$E$64)</f>
        <v/>
      </c>
    </row>
    <row r="36" spans="1:6" ht="14.25" customHeight="1" x14ac:dyDescent="0.25">
      <c r="A36" s="108">
        <v>28</v>
      </c>
      <c r="B36" s="109" t="s">
        <v>55</v>
      </c>
      <c r="C36" s="110">
        <v>0</v>
      </c>
      <c r="D36" s="110">
        <v>0</v>
      </c>
      <c r="E36" s="113">
        <v>0</v>
      </c>
      <c r="F36" s="23" t="str">
        <f>IF(E36=0,"",E36/$E$64)</f>
        <v/>
      </c>
    </row>
    <row r="37" spans="1:6" ht="14.25" customHeight="1" x14ac:dyDescent="0.25">
      <c r="A37" s="108">
        <v>29</v>
      </c>
      <c r="B37" s="109" t="s">
        <v>93</v>
      </c>
      <c r="C37" s="110">
        <v>0</v>
      </c>
      <c r="D37" s="110">
        <v>0</v>
      </c>
      <c r="E37" s="113">
        <v>0</v>
      </c>
      <c r="F37" s="23" t="str">
        <f>IF(E37=0,"",E37/$E$64)</f>
        <v/>
      </c>
    </row>
    <row r="38" spans="1:6" ht="14.25" customHeight="1" x14ac:dyDescent="0.25">
      <c r="A38" s="108">
        <v>30</v>
      </c>
      <c r="B38" s="109" t="s">
        <v>83</v>
      </c>
      <c r="C38" s="110">
        <v>1021</v>
      </c>
      <c r="D38" s="110">
        <v>10</v>
      </c>
      <c r="E38" s="113">
        <v>1031</v>
      </c>
      <c r="F38" s="23">
        <f>IF(E38=0,"",E38/$E$64)</f>
        <v>4.0733599886214576E-3</v>
      </c>
    </row>
    <row r="39" spans="1:6" ht="14.25" customHeight="1" x14ac:dyDescent="0.25">
      <c r="A39" s="108">
        <v>31</v>
      </c>
      <c r="B39" s="109" t="s">
        <v>54</v>
      </c>
      <c r="C39" s="110">
        <v>0</v>
      </c>
      <c r="D39" s="110">
        <v>0</v>
      </c>
      <c r="E39" s="113">
        <v>0</v>
      </c>
      <c r="F39" s="23" t="str">
        <f>IF(E39=0,"",E39/$E$64)</f>
        <v/>
      </c>
    </row>
    <row r="40" spans="1:6" ht="14.25" customHeight="1" x14ac:dyDescent="0.25">
      <c r="A40" s="108">
        <v>32</v>
      </c>
      <c r="B40" s="109" t="s">
        <v>71</v>
      </c>
      <c r="C40" s="110">
        <v>0</v>
      </c>
      <c r="D40" s="110">
        <v>0</v>
      </c>
      <c r="E40" s="113">
        <v>0</v>
      </c>
      <c r="F40" s="23" t="str">
        <f>IF(E40=0,"",E40/$E$64)</f>
        <v/>
      </c>
    </row>
    <row r="41" spans="1:6" ht="14.25" customHeight="1" x14ac:dyDescent="0.25">
      <c r="A41" s="108">
        <v>33</v>
      </c>
      <c r="B41" s="109" t="s">
        <v>18</v>
      </c>
      <c r="C41" s="110">
        <v>439</v>
      </c>
      <c r="D41" s="110">
        <v>943</v>
      </c>
      <c r="E41" s="113">
        <v>1382</v>
      </c>
      <c r="F41" s="23">
        <f>IF(E41=0,"",E41/$E$64)</f>
        <v>5.4601197907612562E-3</v>
      </c>
    </row>
    <row r="42" spans="1:6" ht="14.25" customHeight="1" x14ac:dyDescent="0.25">
      <c r="A42" s="108">
        <v>34</v>
      </c>
      <c r="B42" s="109" t="s">
        <v>19</v>
      </c>
      <c r="C42" s="110">
        <v>3960</v>
      </c>
      <c r="D42" s="110">
        <v>361</v>
      </c>
      <c r="E42" s="113">
        <v>4321</v>
      </c>
      <c r="F42" s="23">
        <f>IF(E42=0,"",E42/$E$64)</f>
        <v>1.7071763832040079E-2</v>
      </c>
    </row>
    <row r="43" spans="1:6" ht="14.25" customHeight="1" x14ac:dyDescent="0.25">
      <c r="A43" s="108">
        <v>35</v>
      </c>
      <c r="B43" s="109" t="s">
        <v>105</v>
      </c>
      <c r="C43" s="110">
        <v>1</v>
      </c>
      <c r="D43" s="110">
        <v>0</v>
      </c>
      <c r="E43" s="113">
        <v>1</v>
      </c>
      <c r="F43" s="23">
        <f>IF(E43=0,"",E43/$E$64)</f>
        <v>3.9508826271789115E-6</v>
      </c>
    </row>
    <row r="44" spans="1:6" ht="14.25" customHeight="1" x14ac:dyDescent="0.25">
      <c r="A44" s="108">
        <v>36</v>
      </c>
      <c r="B44" s="109" t="s">
        <v>87</v>
      </c>
      <c r="C44" s="110">
        <v>265</v>
      </c>
      <c r="D44" s="110">
        <v>144</v>
      </c>
      <c r="E44" s="113">
        <v>409</v>
      </c>
      <c r="F44" s="23">
        <f>IF(E44=0,"",E44/$E$64)</f>
        <v>1.6159109945161748E-3</v>
      </c>
    </row>
    <row r="45" spans="1:6" ht="14.25" customHeight="1" x14ac:dyDescent="0.25">
      <c r="A45" s="108">
        <v>37</v>
      </c>
      <c r="B45" s="109" t="s">
        <v>72</v>
      </c>
      <c r="C45" s="110">
        <v>0</v>
      </c>
      <c r="D45" s="110">
        <v>62</v>
      </c>
      <c r="E45" s="113">
        <v>62</v>
      </c>
      <c r="F45" s="23">
        <f>IF(E45=0,"",E45/$E$64)</f>
        <v>2.4495472288509252E-4</v>
      </c>
    </row>
    <row r="46" spans="1:6" ht="14.25" customHeight="1" x14ac:dyDescent="0.25">
      <c r="A46" s="108">
        <v>38</v>
      </c>
      <c r="B46" s="109" t="s">
        <v>85</v>
      </c>
      <c r="C46" s="110">
        <v>344</v>
      </c>
      <c r="D46" s="110">
        <v>1310</v>
      </c>
      <c r="E46" s="113">
        <v>1654</v>
      </c>
      <c r="F46" s="23">
        <f>IF(E46=0,"",E46/$E$64)</f>
        <v>6.5347598653539198E-3</v>
      </c>
    </row>
    <row r="47" spans="1:6" ht="14.25" customHeight="1" x14ac:dyDescent="0.25">
      <c r="A47" s="108">
        <v>39</v>
      </c>
      <c r="B47" s="109" t="s">
        <v>47</v>
      </c>
      <c r="C47" s="110">
        <v>9256</v>
      </c>
      <c r="D47" s="110">
        <v>216</v>
      </c>
      <c r="E47" s="113">
        <v>9472</v>
      </c>
      <c r="F47" s="23">
        <f>IF(E47=0,"",E47/$E$64)</f>
        <v>3.7422760244638649E-2</v>
      </c>
    </row>
    <row r="48" spans="1:6" ht="14.25" customHeight="1" x14ac:dyDescent="0.25">
      <c r="A48" s="108">
        <v>40</v>
      </c>
      <c r="B48" s="109" t="s">
        <v>53</v>
      </c>
      <c r="C48" s="110">
        <v>261</v>
      </c>
      <c r="D48" s="110">
        <v>7</v>
      </c>
      <c r="E48" s="113">
        <v>268</v>
      </c>
      <c r="F48" s="23">
        <f>IF(E48=0,"",E48/$E$64)</f>
        <v>1.0588365440839483E-3</v>
      </c>
    </row>
    <row r="49" spans="1:6" ht="14.25" customHeight="1" x14ac:dyDescent="0.25">
      <c r="A49" s="108">
        <v>41</v>
      </c>
      <c r="B49" s="109" t="s">
        <v>79</v>
      </c>
      <c r="C49" s="110">
        <v>1959</v>
      </c>
      <c r="D49" s="110">
        <v>112</v>
      </c>
      <c r="E49" s="113">
        <v>2071</v>
      </c>
      <c r="F49" s="23">
        <f>IF(E49=0,"",E49/$E$64)</f>
        <v>8.1822779208875259E-3</v>
      </c>
    </row>
    <row r="50" spans="1:6" ht="14.25" customHeight="1" x14ac:dyDescent="0.25">
      <c r="A50" s="108">
        <v>42</v>
      </c>
      <c r="B50" s="109" t="s">
        <v>21</v>
      </c>
      <c r="C50" s="110">
        <v>8660</v>
      </c>
      <c r="D50" s="110">
        <v>1225</v>
      </c>
      <c r="E50" s="113">
        <v>9885</v>
      </c>
      <c r="F50" s="23">
        <f>IF(E50=0,"",E50/$E$64)</f>
        <v>3.905447476966354E-2</v>
      </c>
    </row>
    <row r="51" spans="1:6" x14ac:dyDescent="0.25">
      <c r="A51" s="108">
        <v>43</v>
      </c>
      <c r="B51" s="109" t="s">
        <v>80</v>
      </c>
      <c r="C51" s="110">
        <v>1393</v>
      </c>
      <c r="D51" s="110">
        <v>275</v>
      </c>
      <c r="E51" s="113">
        <v>1668</v>
      </c>
      <c r="F51" s="23">
        <f>IF(E51=0,"",E51/$E$64)</f>
        <v>6.5900722221344252E-3</v>
      </c>
    </row>
    <row r="52" spans="1:6" x14ac:dyDescent="0.25">
      <c r="A52" s="108">
        <v>44</v>
      </c>
      <c r="B52" s="109" t="s">
        <v>50</v>
      </c>
      <c r="C52" s="110">
        <v>0</v>
      </c>
      <c r="D52" s="110">
        <v>0</v>
      </c>
      <c r="E52" s="113">
        <v>0</v>
      </c>
      <c r="F52" s="23" t="str">
        <f>IF(E52=0,"",E52/$E$64)</f>
        <v/>
      </c>
    </row>
    <row r="53" spans="1:6" x14ac:dyDescent="0.25">
      <c r="A53" s="108">
        <v>45</v>
      </c>
      <c r="B53" s="109" t="s">
        <v>52</v>
      </c>
      <c r="C53" s="110">
        <v>4454</v>
      </c>
      <c r="D53" s="110">
        <v>683</v>
      </c>
      <c r="E53" s="113">
        <v>5137</v>
      </c>
      <c r="F53" s="23">
        <f>IF(E53=0,"",E53/$E$64)</f>
        <v>2.029568405581807E-2</v>
      </c>
    </row>
    <row r="54" spans="1:6" x14ac:dyDescent="0.25">
      <c r="A54" s="108">
        <v>46</v>
      </c>
      <c r="B54" s="109" t="s">
        <v>48</v>
      </c>
      <c r="C54" s="110">
        <v>3226</v>
      </c>
      <c r="D54" s="110">
        <v>148</v>
      </c>
      <c r="E54" s="113">
        <v>3374</v>
      </c>
      <c r="F54" s="23">
        <f>IF(E54=0,"",E54/$E$64)</f>
        <v>1.3330277984101649E-2</v>
      </c>
    </row>
    <row r="55" spans="1:6" x14ac:dyDescent="0.25">
      <c r="A55" s="108">
        <v>47</v>
      </c>
      <c r="B55" s="109" t="s">
        <v>94</v>
      </c>
      <c r="C55" s="110">
        <v>3249</v>
      </c>
      <c r="D55" s="110">
        <v>483</v>
      </c>
      <c r="E55" s="113">
        <v>3732</v>
      </c>
      <c r="F55" s="23">
        <f>IF(E55=0,"",E55/$E$64)</f>
        <v>1.4744693964631699E-2</v>
      </c>
    </row>
    <row r="56" spans="1:6" x14ac:dyDescent="0.25">
      <c r="A56" s="108">
        <v>48</v>
      </c>
      <c r="B56" s="112" t="s">
        <v>77</v>
      </c>
      <c r="C56" s="110">
        <v>0</v>
      </c>
      <c r="D56" s="110">
        <v>14</v>
      </c>
      <c r="E56" s="113">
        <v>14</v>
      </c>
      <c r="F56" s="23">
        <f>IF(E56=0,"",E56/$E$64)</f>
        <v>5.5312356780504766E-5</v>
      </c>
    </row>
    <row r="57" spans="1:6" x14ac:dyDescent="0.25">
      <c r="A57" s="108">
        <v>49</v>
      </c>
      <c r="B57" s="109" t="s">
        <v>96</v>
      </c>
      <c r="C57" s="110">
        <v>5533</v>
      </c>
      <c r="D57" s="110">
        <v>183</v>
      </c>
      <c r="E57" s="113">
        <v>5716</v>
      </c>
      <c r="F57" s="23">
        <f>IF(E57=0,"",E57/$E$64)</f>
        <v>2.2583245096954661E-2</v>
      </c>
    </row>
    <row r="58" spans="1:6" x14ac:dyDescent="0.25">
      <c r="A58" s="108">
        <v>50</v>
      </c>
      <c r="B58" s="109" t="s">
        <v>108</v>
      </c>
      <c r="C58" s="110">
        <v>5357</v>
      </c>
      <c r="D58" s="110">
        <v>212</v>
      </c>
      <c r="E58" s="113">
        <v>5569</v>
      </c>
      <c r="F58" s="23">
        <f>IF(E58=0,"",E58/$E$64)</f>
        <v>2.2002465350759361E-2</v>
      </c>
    </row>
    <row r="59" spans="1:6" x14ac:dyDescent="0.25">
      <c r="A59" s="108">
        <v>51</v>
      </c>
      <c r="B59" s="109" t="s">
        <v>22</v>
      </c>
      <c r="C59" s="110">
        <v>69</v>
      </c>
      <c r="D59" s="110">
        <v>233</v>
      </c>
      <c r="E59" s="113">
        <v>302</v>
      </c>
      <c r="F59" s="23">
        <f>IF(E59=0,"",E59/$E$64)</f>
        <v>1.1931665534080313E-3</v>
      </c>
    </row>
    <row r="60" spans="1:6" x14ac:dyDescent="0.25">
      <c r="A60" s="108">
        <v>52</v>
      </c>
      <c r="B60" s="109" t="s">
        <v>45</v>
      </c>
      <c r="C60" s="110">
        <v>3839</v>
      </c>
      <c r="D60" s="110">
        <v>90</v>
      </c>
      <c r="E60" s="113">
        <v>3929</v>
      </c>
      <c r="F60" s="23">
        <f>IF(E60=0,"",E60/$E$64)</f>
        <v>1.5523017842185944E-2</v>
      </c>
    </row>
    <row r="61" spans="1:6" x14ac:dyDescent="0.25">
      <c r="A61" s="108">
        <v>53</v>
      </c>
      <c r="B61" s="109" t="s">
        <v>44</v>
      </c>
      <c r="C61" s="110">
        <v>1180</v>
      </c>
      <c r="D61" s="110">
        <v>181</v>
      </c>
      <c r="E61" s="113">
        <v>1361</v>
      </c>
      <c r="F61" s="23">
        <f>IF(E61=0,"",E61/$E$64)</f>
        <v>5.3771512555904986E-3</v>
      </c>
    </row>
    <row r="62" spans="1:6" x14ac:dyDescent="0.25">
      <c r="A62" s="108">
        <v>54</v>
      </c>
      <c r="B62" s="109" t="s">
        <v>74</v>
      </c>
      <c r="C62" s="110">
        <v>1619</v>
      </c>
      <c r="D62" s="110">
        <v>281</v>
      </c>
      <c r="E62" s="113">
        <v>1900</v>
      </c>
      <c r="F62" s="23">
        <f>IF(E62=0,"",E62/$E$64)</f>
        <v>7.5066769916399319E-3</v>
      </c>
    </row>
    <row r="63" spans="1:6" x14ac:dyDescent="0.25">
      <c r="A63" s="108">
        <v>55</v>
      </c>
      <c r="B63" s="109" t="s">
        <v>23</v>
      </c>
      <c r="C63" s="110">
        <v>104219</v>
      </c>
      <c r="D63" s="110">
        <v>22335</v>
      </c>
      <c r="E63" s="113">
        <v>126554</v>
      </c>
      <c r="F63" s="23">
        <f>IF(E63=0,"",E63/$E$64)</f>
        <v>0.5</v>
      </c>
    </row>
    <row r="64" spans="1:6" x14ac:dyDescent="0.25">
      <c r="A64" s="108"/>
      <c r="B64" s="120" t="s">
        <v>23</v>
      </c>
      <c r="C64" s="121">
        <f>SUM(C9:C63)</f>
        <v>208438</v>
      </c>
      <c r="D64" s="121">
        <f>SUM(D9:D63)</f>
        <v>44670</v>
      </c>
      <c r="E64" s="121">
        <f>SUM(E9:E63)</f>
        <v>253108</v>
      </c>
      <c r="F64" s="23">
        <f t="shared" ref="F64" si="0">IF(E64=0,"",E64/$E$64)</f>
        <v>1</v>
      </c>
    </row>
    <row r="65" spans="1:10" x14ac:dyDescent="0.25">
      <c r="A65" s="115"/>
      <c r="B65" s="116"/>
      <c r="C65" s="117"/>
      <c r="D65" s="117"/>
      <c r="E65" s="118"/>
      <c r="F65" s="119"/>
    </row>
    <row r="66" spans="1:10" x14ac:dyDescent="0.25">
      <c r="A66" s="2" t="s">
        <v>27</v>
      </c>
      <c r="B66" s="18"/>
      <c r="C66" s="18"/>
      <c r="D66" s="18"/>
      <c r="E66" s="18"/>
    </row>
    <row r="67" spans="1:10" x14ac:dyDescent="0.25">
      <c r="A67" s="2" t="s">
        <v>31</v>
      </c>
      <c r="D67" s="18"/>
      <c r="E67" s="18"/>
    </row>
    <row r="68" spans="1:10" x14ac:dyDescent="0.25">
      <c r="A68" s="2" t="s">
        <v>32</v>
      </c>
      <c r="C68" s="11"/>
      <c r="D68" s="11"/>
      <c r="E68" s="11"/>
    </row>
    <row r="69" spans="1:10" x14ac:dyDescent="0.25">
      <c r="C69" s="11"/>
      <c r="D69" s="11"/>
      <c r="E69" s="11"/>
      <c r="J69" s="107"/>
    </row>
    <row r="70" spans="1:10" x14ac:dyDescent="0.25">
      <c r="B70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5">
      <c r="A2" s="122" t="s">
        <v>97</v>
      </c>
      <c r="B2" s="122"/>
      <c r="C2" s="122"/>
      <c r="D2" s="122"/>
      <c r="E2" s="122"/>
      <c r="F2" s="122"/>
      <c r="G2" s="122"/>
      <c r="H2" s="122"/>
      <c r="I2" s="28"/>
    </row>
    <row r="3" spans="1:9" s="9" customFormat="1" ht="18" customHeight="1" x14ac:dyDescent="0.25">
      <c r="A3" s="25" t="s">
        <v>70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5">
      <c r="A4" s="25" t="s">
        <v>69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5">
      <c r="A6" s="10" t="str">
        <f>'Summary Load Customers '!A6</f>
        <v>Data as of August 31,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3">
      <c r="A8" s="63" t="s">
        <v>63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4">
      <c r="B9" s="30"/>
      <c r="C9" s="30"/>
      <c r="D9" s="61"/>
      <c r="E9" s="61"/>
      <c r="F9" s="68"/>
      <c r="G9" s="68"/>
      <c r="H9" s="30"/>
    </row>
    <row r="10" spans="1:9" ht="18" customHeight="1" x14ac:dyDescent="0.25">
      <c r="A10" s="31" t="s">
        <v>91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35</v>
      </c>
      <c r="E11" s="55"/>
      <c r="F11" s="34" t="s">
        <v>42</v>
      </c>
      <c r="G11" s="36"/>
    </row>
    <row r="12" spans="1:9" ht="18" customHeight="1" x14ac:dyDescent="0.25">
      <c r="A12" s="39"/>
      <c r="B12" s="40" t="s">
        <v>20</v>
      </c>
      <c r="C12" s="41" t="s">
        <v>29</v>
      </c>
      <c r="D12" s="40" t="str">
        <f>B12</f>
        <v>Customers</v>
      </c>
      <c r="E12" s="41" t="s">
        <v>29</v>
      </c>
      <c r="F12" s="40" t="str">
        <f>B12</f>
        <v>Customers</v>
      </c>
      <c r="G12" s="41" t="s">
        <v>28</v>
      </c>
    </row>
    <row r="13" spans="1:9" ht="18" customHeight="1" x14ac:dyDescent="0.25">
      <c r="A13" s="42" t="s">
        <v>65</v>
      </c>
      <c r="B13" s="45">
        <f>REC_programs_detail!B23</f>
        <v>3829</v>
      </c>
      <c r="C13" s="46">
        <f>IF(B13=0,0,B13/'Summary Load Customers '!$B$22)</f>
        <v>1.2736374673607531E-2</v>
      </c>
      <c r="D13" s="45">
        <f>REC_programs_detail!C23</f>
        <v>41</v>
      </c>
      <c r="E13" s="46">
        <f>IF(D13=0,0,D13/('Summary Load Customers '!$D$22+'Summary Load Customers '!$F$22))</f>
        <v>1.0483252365124009E-3</v>
      </c>
      <c r="F13" s="45">
        <f>B13+D13</f>
        <v>3870</v>
      </c>
      <c r="G13" s="46">
        <f>IF(F13=0,0,F13/'Summary Load Customers '!$H$22)</f>
        <v>1.1390896113261417E-2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3,870 of UI's customers, or 1.1%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5">
      <c r="A17" s="31" t="s">
        <v>64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35</v>
      </c>
      <c r="E18" s="55"/>
      <c r="F18" s="34" t="s">
        <v>42</v>
      </c>
      <c r="G18" s="36"/>
    </row>
    <row r="19" spans="1:9" ht="18" customHeight="1" x14ac:dyDescent="0.25">
      <c r="A19" s="39"/>
      <c r="B19" s="40" t="s">
        <v>20</v>
      </c>
      <c r="C19" s="41" t="s">
        <v>29</v>
      </c>
      <c r="D19" s="40" t="str">
        <f>B19</f>
        <v>Customers</v>
      </c>
      <c r="E19" s="41" t="s">
        <v>29</v>
      </c>
      <c r="F19" s="40" t="str">
        <f>B19</f>
        <v>Customers</v>
      </c>
      <c r="G19" s="41" t="s">
        <v>28</v>
      </c>
    </row>
    <row r="20" spans="1:9" ht="18" customHeight="1" x14ac:dyDescent="0.25">
      <c r="A20" s="42" t="s">
        <v>66</v>
      </c>
      <c r="B20" s="45">
        <f>REC_programs_detail!B29</f>
        <v>699</v>
      </c>
      <c r="C20" s="46">
        <f>IF(B20=0,0,B20/'Summary Load Customers '!$B$22)</f>
        <v>2.3250785836645767E-3</v>
      </c>
      <c r="D20" s="45">
        <f>REC_programs_detail!C29</f>
        <v>61</v>
      </c>
      <c r="E20" s="46">
        <f>IF(D20=0,0,D20/('Summary Load Customers '!$D$22+'Summary Load Customers '!$F$22))</f>
        <v>1.5597034006647917E-3</v>
      </c>
      <c r="F20" s="45">
        <f>B20+D20</f>
        <v>760</v>
      </c>
      <c r="G20" s="46">
        <f>IF(F20=0,0,F20/'Summary Load Customers '!$H$22)</f>
        <v>2.2369718465319577E-3</v>
      </c>
    </row>
    <row r="21" spans="1:9" ht="18" customHeight="1" x14ac:dyDescent="0.25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5">
      <c r="A22" s="102" t="str">
        <f>"As the above table shows, "&amp;TEXT(F20,"0,000")&amp;" of UI's customers, or "&amp;TEXT(G20,"0.0%")&amp;" are participating in the REC only program."</f>
        <v>As the above table shows, 0,760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3.8" x14ac:dyDescent="0.25">
      <c r="A23" s="48"/>
    </row>
    <row r="24" spans="1:9" ht="13.8" x14ac:dyDescent="0.25">
      <c r="A24" s="31" t="s">
        <v>68</v>
      </c>
      <c r="B24" s="32"/>
      <c r="C24" s="32"/>
      <c r="D24" s="32"/>
      <c r="E24" s="32"/>
      <c r="F24" s="32"/>
      <c r="G24" s="53"/>
      <c r="H24" s="27"/>
      <c r="I24" s="28"/>
    </row>
    <row r="25" spans="1:9" ht="13.8" x14ac:dyDescent="0.25">
      <c r="A25" s="42"/>
      <c r="B25" s="34" t="s">
        <v>5</v>
      </c>
      <c r="C25" s="54"/>
      <c r="D25" s="34" t="s">
        <v>35</v>
      </c>
      <c r="E25" s="55"/>
      <c r="F25" s="34" t="s">
        <v>42</v>
      </c>
      <c r="G25" s="36"/>
    </row>
    <row r="26" spans="1:9" ht="13.8" x14ac:dyDescent="0.25">
      <c r="A26" s="39"/>
      <c r="B26" s="40" t="s">
        <v>20</v>
      </c>
      <c r="C26" s="41" t="s">
        <v>29</v>
      </c>
      <c r="D26" s="40" t="str">
        <f>B26</f>
        <v>Customers</v>
      </c>
      <c r="E26" s="41" t="s">
        <v>29</v>
      </c>
      <c r="F26" s="40" t="str">
        <f>B26</f>
        <v>Customers</v>
      </c>
      <c r="G26" s="41" t="s">
        <v>28</v>
      </c>
    </row>
    <row r="27" spans="1:9" ht="13.8" x14ac:dyDescent="0.25">
      <c r="A27" s="42" t="s">
        <v>67</v>
      </c>
      <c r="B27" s="45">
        <f>B13+B20</f>
        <v>4528</v>
      </c>
      <c r="C27" s="46">
        <f>IF(B27=0,0,B27/'Summary Load Customers '!$B$22)</f>
        <v>1.5061453257272107E-2</v>
      </c>
      <c r="D27" s="45">
        <f>D13+D20</f>
        <v>102</v>
      </c>
      <c r="E27" s="46">
        <f>IF(D27=0,0,D27/('Summary Load Customers '!$D$22+'Summary Load Customers '!$F$22))</f>
        <v>2.6080286371771926E-3</v>
      </c>
      <c r="F27" s="45">
        <f>B27+D27</f>
        <v>4630</v>
      </c>
      <c r="G27" s="46">
        <f>IF(F27=0,0,F27/'Summary Load Customers '!$H$22)</f>
        <v>1.3627867959793375E-2</v>
      </c>
    </row>
    <row r="28" spans="1:9" ht="13.8" x14ac:dyDescent="0.25">
      <c r="G28" s="52"/>
      <c r="H28" s="30"/>
    </row>
    <row r="29" spans="1:9" ht="13.8" x14ac:dyDescent="0.25">
      <c r="A29" s="102" t="str">
        <f>"As the above table shows, "&amp;TEXT(F27,"0,000")&amp;" of UI's customers, or "&amp;TEXT(G27,"0.0%")&amp;" are participating in the combined REC programs."</f>
        <v>As the above table shows, 4,630 of UI's customers, or 1.4% are participating in the combined REC programs.</v>
      </c>
      <c r="G29" s="52"/>
      <c r="H29" s="30"/>
    </row>
    <row r="31" spans="1:9" ht="13.8" x14ac:dyDescent="0.25">
      <c r="A31" s="69" t="s">
        <v>41</v>
      </c>
    </row>
    <row r="32" spans="1:9" ht="13.8" x14ac:dyDescent="0.25">
      <c r="A32" s="69"/>
    </row>
    <row r="33" spans="1:1" ht="13.8" x14ac:dyDescent="0.25">
      <c r="A33" s="69" t="s">
        <v>92</v>
      </c>
    </row>
    <row r="34" spans="1:1" x14ac:dyDescent="0.25">
      <c r="A34" s="70" t="s">
        <v>88</v>
      </c>
    </row>
    <row r="36" spans="1:1" x14ac:dyDescent="0.25">
      <c r="A36" s="70" t="s">
        <v>27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0" zoomScale="110" zoomScaleNormal="110" workbookViewId="0">
      <selection activeCell="C28" sqref="C28"/>
    </sheetView>
  </sheetViews>
  <sheetFormatPr defaultColWidth="9.109375" defaultRowHeight="10.199999999999999" x14ac:dyDescent="0.2"/>
  <cols>
    <col min="1" max="1" width="28" style="77" customWidth="1"/>
    <col min="2" max="3" width="19.109375" style="77" customWidth="1"/>
    <col min="4" max="4" width="20.33203125" style="77" customWidth="1"/>
    <col min="5" max="5" width="7.109375" style="77" customWidth="1"/>
    <col min="6" max="6" width="23.33203125" style="77" bestFit="1" customWidth="1"/>
    <col min="7" max="7" width="10.44140625" style="77" customWidth="1"/>
    <col min="8" max="16384" width="9.109375" style="77"/>
  </cols>
  <sheetData>
    <row r="1" spans="1:9" s="76" customFormat="1" ht="15" customHeight="1" x14ac:dyDescent="0.25">
      <c r="A1" s="123" t="str">
        <f>'Summary Load Customers '!A1</f>
        <v>The United Illuminating Company</v>
      </c>
      <c r="B1" s="123"/>
      <c r="C1" s="123"/>
      <c r="D1" s="123"/>
      <c r="E1" s="74"/>
      <c r="F1" s="74"/>
      <c r="G1" s="75"/>
    </row>
    <row r="2" spans="1:9" s="9" customFormat="1" ht="18" customHeight="1" x14ac:dyDescent="0.25">
      <c r="A2" s="124" t="s">
        <v>97</v>
      </c>
      <c r="B2" s="124"/>
      <c r="C2" s="124"/>
      <c r="D2" s="124"/>
      <c r="E2" s="26"/>
      <c r="F2" s="26"/>
      <c r="G2" s="27"/>
      <c r="H2" s="28"/>
      <c r="I2" s="28"/>
    </row>
    <row r="3" spans="1:9" s="76" customFormat="1" ht="15" customHeight="1" x14ac:dyDescent="0.25">
      <c r="A3" s="123" t="s">
        <v>56</v>
      </c>
      <c r="B3" s="123"/>
      <c r="C3" s="123"/>
      <c r="D3" s="123"/>
      <c r="E3" s="74"/>
      <c r="F3" s="74"/>
      <c r="G3" s="75"/>
    </row>
    <row r="4" spans="1:9" s="76" customFormat="1" ht="15" customHeight="1" x14ac:dyDescent="0.25">
      <c r="A4" s="123" t="s">
        <v>2</v>
      </c>
      <c r="B4" s="123"/>
      <c r="C4" s="123"/>
      <c r="D4" s="123"/>
      <c r="E4" s="74"/>
      <c r="F4" s="74"/>
      <c r="G4" s="75"/>
    </row>
    <row r="5" spans="1:9" s="76" customFormat="1" ht="15" customHeight="1" x14ac:dyDescent="0.25">
      <c r="A5" s="123" t="str">
        <f>'Summary Load Customers '!A6</f>
        <v>Data as of August 31, 2017</v>
      </c>
      <c r="B5" s="123"/>
      <c r="C5" s="123"/>
      <c r="D5" s="123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0.399999999999999" x14ac:dyDescent="0.2">
      <c r="A7" s="79" t="s">
        <v>58</v>
      </c>
      <c r="B7" s="80" t="s">
        <v>5</v>
      </c>
      <c r="C7" s="79" t="s">
        <v>6</v>
      </c>
      <c r="D7" s="79" t="s">
        <v>42</v>
      </c>
      <c r="E7" s="81"/>
      <c r="F7" s="81"/>
      <c r="G7" s="82"/>
      <c r="H7" s="83"/>
    </row>
    <row r="8" spans="1:9" x14ac:dyDescent="0.2">
      <c r="A8" s="85" t="s">
        <v>57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24</v>
      </c>
      <c r="B9" s="87">
        <v>139</v>
      </c>
      <c r="C9" s="87">
        <v>2</v>
      </c>
      <c r="D9" s="88">
        <f>SUM(B9:C9)</f>
        <v>141</v>
      </c>
      <c r="E9" s="90"/>
      <c r="F9" s="90"/>
      <c r="G9" s="89"/>
      <c r="H9" s="78"/>
    </row>
    <row r="10" spans="1:9" x14ac:dyDescent="0.2">
      <c r="A10" s="85" t="s">
        <v>25</v>
      </c>
      <c r="B10" s="87">
        <v>3139</v>
      </c>
      <c r="C10" s="87">
        <v>37</v>
      </c>
      <c r="D10" s="88">
        <f>SUM(B10:C10)</f>
        <v>3176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3278</v>
      </c>
      <c r="C11" s="94">
        <f>IF(SUM(C8:C10)=0,0,SUM(C8:C10))</f>
        <v>39</v>
      </c>
      <c r="D11" s="94">
        <f>IF(SUM(D8:D10)=0,0,SUM(D8:D10))</f>
        <v>3317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0.399999999999999" x14ac:dyDescent="0.2">
      <c r="A13" s="79" t="s">
        <v>61</v>
      </c>
      <c r="B13" s="79" t="s">
        <v>5</v>
      </c>
      <c r="C13" s="79" t="str">
        <f>C7</f>
        <v>Business</v>
      </c>
      <c r="D13" s="79" t="s">
        <v>42</v>
      </c>
      <c r="E13" s="97"/>
      <c r="F13" s="98"/>
      <c r="G13" s="96"/>
      <c r="H13" s="78"/>
    </row>
    <row r="14" spans="1:9" x14ac:dyDescent="0.2">
      <c r="A14" s="85" t="s">
        <v>57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24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25</v>
      </c>
      <c r="B16" s="87">
        <v>548</v>
      </c>
      <c r="C16" s="87">
        <v>2</v>
      </c>
      <c r="D16" s="88">
        <f>SUM(B16:C16)</f>
        <v>550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551</v>
      </c>
      <c r="C17" s="94">
        <f>IF(SUM(C14:C16)=0,0,SUM(C14:C16))</f>
        <v>2</v>
      </c>
      <c r="D17" s="94">
        <f>IF(SUM(D14:D16)=0,0,SUM(D14:D16))</f>
        <v>553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0.399999999999999" x14ac:dyDescent="0.2">
      <c r="A19" s="79" t="s">
        <v>62</v>
      </c>
      <c r="B19" s="79" t="s">
        <v>5</v>
      </c>
      <c r="C19" s="79" t="str">
        <f>C7</f>
        <v>Business</v>
      </c>
      <c r="D19" s="79" t="s">
        <v>42</v>
      </c>
      <c r="E19" s="97"/>
      <c r="F19" s="98"/>
      <c r="G19" s="96"/>
      <c r="H19" s="78"/>
    </row>
    <row r="20" spans="1:8" x14ac:dyDescent="0.2">
      <c r="A20" s="85" t="s">
        <v>57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24</v>
      </c>
      <c r="B21" s="99">
        <f>IF(B9+B15=0,0,B9+B15)</f>
        <v>142</v>
      </c>
      <c r="C21" s="99">
        <f>IF(C9+C15=0,0,C9+C15)</f>
        <v>2</v>
      </c>
      <c r="D21" s="88">
        <f t="shared" si="0"/>
        <v>144</v>
      </c>
      <c r="E21" s="89"/>
      <c r="F21" s="96"/>
      <c r="G21" s="96"/>
      <c r="H21" s="78"/>
    </row>
    <row r="22" spans="1:8" x14ac:dyDescent="0.2">
      <c r="A22" s="85" t="s">
        <v>25</v>
      </c>
      <c r="B22" s="99">
        <f>IF(B10+B16=0,0,B10+B16)</f>
        <v>3687</v>
      </c>
      <c r="C22" s="99">
        <f>IF(C10+C16=0,0,C10+C16)</f>
        <v>39</v>
      </c>
      <c r="D22" s="88">
        <f>IF(D10+D16=0,0,D10+D16)</f>
        <v>3726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3829</v>
      </c>
      <c r="C23" s="94">
        <f>IF(SUM(C20:C22)=0,0,SUM(C20:C22))</f>
        <v>41</v>
      </c>
      <c r="D23" s="94">
        <f>SUM(D20:D22)</f>
        <v>3870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0.399999999999999" x14ac:dyDescent="0.2">
      <c r="A25" s="79" t="s">
        <v>59</v>
      </c>
      <c r="B25" s="79" t="s">
        <v>5</v>
      </c>
      <c r="C25" s="79" t="s">
        <v>6</v>
      </c>
      <c r="D25" s="79" t="s">
        <v>42</v>
      </c>
    </row>
    <row r="26" spans="1:8" x14ac:dyDescent="0.2">
      <c r="A26" s="85" t="s">
        <v>57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24</v>
      </c>
      <c r="B27" s="87">
        <v>201</v>
      </c>
      <c r="C27" s="87">
        <v>11</v>
      </c>
      <c r="D27" s="88">
        <f>SUM(B27:C27)</f>
        <v>212</v>
      </c>
    </row>
    <row r="28" spans="1:8" x14ac:dyDescent="0.2">
      <c r="A28" s="85" t="s">
        <v>25</v>
      </c>
      <c r="B28" s="87">
        <v>498</v>
      </c>
      <c r="C28" s="87">
        <v>50</v>
      </c>
      <c r="D28" s="88">
        <f>SUM(B28:C28)</f>
        <v>548</v>
      </c>
    </row>
    <row r="29" spans="1:8" x14ac:dyDescent="0.2">
      <c r="A29" s="93" t="str">
        <f>A23</f>
        <v>Total</v>
      </c>
      <c r="B29" s="94">
        <f>IF(B27+B28=0,0,B27+B28)</f>
        <v>699</v>
      </c>
      <c r="C29" s="94">
        <f>IF(SUM(C26:C28)=0,0,SUM(C26:C28))</f>
        <v>61</v>
      </c>
      <c r="D29" s="94">
        <f>IF(SUM(D26:D28)=0,0,SUM(D26:D28))</f>
        <v>760</v>
      </c>
    </row>
    <row r="31" spans="1:8" x14ac:dyDescent="0.2">
      <c r="A31" s="79" t="s">
        <v>60</v>
      </c>
      <c r="B31" s="79" t="s">
        <v>5</v>
      </c>
      <c r="C31" s="79" t="str">
        <f>C19</f>
        <v>Business</v>
      </c>
      <c r="D31" s="79" t="s">
        <v>42</v>
      </c>
    </row>
    <row r="32" spans="1:8" x14ac:dyDescent="0.2">
      <c r="A32" s="85" t="s">
        <v>57</v>
      </c>
      <c r="B32" s="86"/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24</v>
      </c>
      <c r="B33" s="99">
        <v>201</v>
      </c>
      <c r="C33" s="99">
        <f t="shared" si="1"/>
        <v>13</v>
      </c>
      <c r="D33" s="88">
        <f t="shared" si="1"/>
        <v>356</v>
      </c>
      <c r="E33" s="78"/>
      <c r="F33" s="78"/>
      <c r="G33" s="78"/>
    </row>
    <row r="34" spans="1:7" x14ac:dyDescent="0.2">
      <c r="A34" s="85" t="s">
        <v>25</v>
      </c>
      <c r="B34" s="99">
        <f>B22+B28</f>
        <v>4185</v>
      </c>
      <c r="C34" s="99">
        <f t="shared" si="1"/>
        <v>89</v>
      </c>
      <c r="D34" s="88">
        <f t="shared" si="1"/>
        <v>4274</v>
      </c>
    </row>
    <row r="35" spans="1:7" x14ac:dyDescent="0.2">
      <c r="A35" s="93" t="str">
        <f>A29</f>
        <v>Total</v>
      </c>
      <c r="B35" s="94">
        <f>IF(B33+B34=0,0,B33+B34)</f>
        <v>4386</v>
      </c>
      <c r="C35" s="94">
        <f>IF(SUM(C32:C34)=0,0,SUM(C32:C34))</f>
        <v>102</v>
      </c>
      <c r="D35" s="94">
        <f>SUM(D32:D34)</f>
        <v>4630</v>
      </c>
    </row>
    <row r="37" spans="1:7" x14ac:dyDescent="0.2">
      <c r="A37" s="100" t="str">
        <f>"In summary, "&amp;TEXT($D$23,"0,000")&amp; " of UI's customers are participating in the CTCleanEnergyOptions Program"</f>
        <v>In summary, 3,870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760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4,630 of UI's customers are participating in all REC programs</v>
      </c>
    </row>
    <row r="41" spans="1:7" x14ac:dyDescent="0.2">
      <c r="A41" s="101" t="s">
        <v>30</v>
      </c>
    </row>
    <row r="42" spans="1:7" x14ac:dyDescent="0.2">
      <c r="A42" s="78" t="s">
        <v>26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2017-02-17T16:26:50Z</cp:lastPrinted>
  <dcterms:created xsi:type="dcterms:W3CDTF">2009-03-17T13:14:28Z</dcterms:created>
  <dcterms:modified xsi:type="dcterms:W3CDTF">2017-09-15T16:32:42Z</dcterms:modified>
</cp:coreProperties>
</file>