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2" yWindow="4596" windowWidth="20196" windowHeight="4536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12" i="7" l="1"/>
  <c r="F11" i="7"/>
  <c r="B11" i="7"/>
  <c r="F52" i="6"/>
  <c r="D12" i="7" l="1"/>
  <c r="B12" i="7"/>
  <c r="F21" i="7"/>
  <c r="F20" i="7"/>
  <c r="D21" i="7"/>
  <c r="D20" i="7"/>
  <c r="B21" i="7"/>
  <c r="B20" i="7"/>
  <c r="B32" i="5" l="1"/>
  <c r="D11" i="7" l="1"/>
  <c r="C11" i="5" l="1"/>
  <c r="A5" i="6" l="1"/>
  <c r="F14" i="6" l="1"/>
  <c r="F20" i="6"/>
  <c r="F29" i="6"/>
  <c r="F32" i="6"/>
  <c r="F35" i="6"/>
  <c r="F36" i="6"/>
  <c r="F37" i="6"/>
  <c r="F40" i="6"/>
  <c r="F41" i="6"/>
  <c r="F43" i="6"/>
  <c r="F51" i="6"/>
  <c r="F11" i="6" l="1"/>
  <c r="F15" i="6"/>
  <c r="F19" i="6"/>
  <c r="F23" i="6"/>
  <c r="F27" i="6"/>
  <c r="F31" i="6"/>
  <c r="F39" i="6"/>
  <c r="F47" i="6"/>
  <c r="F12" i="6"/>
  <c r="F16" i="6"/>
  <c r="F24" i="6"/>
  <c r="F28" i="6"/>
  <c r="F44" i="6"/>
  <c r="F48" i="6"/>
  <c r="F13" i="6"/>
  <c r="F17" i="6"/>
  <c r="F21" i="6"/>
  <c r="F25" i="6"/>
  <c r="F33" i="6"/>
  <c r="F45" i="6"/>
  <c r="F49" i="6"/>
  <c r="F10" i="6"/>
  <c r="F18" i="6"/>
  <c r="F22" i="6"/>
  <c r="F26" i="6"/>
  <c r="F30" i="6"/>
  <c r="F34" i="6"/>
  <c r="F38" i="6"/>
  <c r="F42" i="6"/>
  <c r="F46" i="6"/>
  <c r="F50" i="6"/>
  <c r="B21" i="5"/>
  <c r="B33" i="5" s="1"/>
  <c r="C21" i="5"/>
  <c r="C33" i="5" s="1"/>
  <c r="C22" i="5"/>
  <c r="C34" i="5" s="1"/>
  <c r="B22" i="5"/>
  <c r="B34" i="5" s="1"/>
  <c r="F9" i="6" l="1"/>
  <c r="F53" i="6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  <c r="B13" i="7" l="1"/>
  <c r="H12" i="7"/>
  <c r="C11" i="7" l="1"/>
  <c r="C12" i="7"/>
  <c r="F13" i="7" l="1"/>
  <c r="G12" i="7" s="1"/>
  <c r="D13" i="7"/>
  <c r="E12" i="7" s="1"/>
  <c r="H11" i="7"/>
  <c r="G11" i="7" l="1"/>
  <c r="E11" i="7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<sst xmlns="http://schemas.openxmlformats.org/spreadsheetml/2006/main" count="166" uniqueCount="99">
  <si>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</si>
  <si>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</si>
  <si>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</si>
  <si>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</si>
  <si>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</si>
  <si>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</si>
  <si>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</si>
  <si>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</si>
  <si>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</si>
  <si>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</si>
  <si>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</si>
  <si>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</si>
  <si>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</si>
  <si>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</si>
  <si>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</si>
  <si>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</si>
  <si>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</si>
  <si>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</si>
  <si>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</si>
  <si>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</si>
  <si>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</si>
  <si>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</si>
  <si>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</si>
  <si>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</si>
  <si>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</si>
  <si>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</si>
  <si>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</si>
  <si>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</si>
  <si>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</si>
  <si>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</si>
  <si>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</si>
  <si>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</si>
  <si>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</si>
  <si>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</si>
  <si>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</si>
  <si>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</si>
  <si>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</si>
  <si>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</si>
  <si>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</si>
  <si>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</si>
  <si>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</si>
  <si>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</si>
  <si>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</si>
  <si>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</si>
  <si>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</si>
  <si>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</si>
  <si>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</si>
  <si>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</si>
  <si>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</si>
  <si>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</si>
  <si>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</si>
  <si>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</si>
  <si>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</si>
  <si>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</si>
  <si>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</si>
  <si>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</si>
  <si>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</si>
  <si>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</si>
  <si>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</si>
  <si>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America Wide Energy, LLC</t>
  </si>
  <si>
    <t>Aequitas Energy, Inc</t>
  </si>
  <si>
    <t>Calpine Energy Solutions, LLC</t>
  </si>
  <si>
    <t>Champion Energy Services</t>
  </si>
  <si>
    <t>Choice Energy, LLC</t>
  </si>
  <si>
    <t>Clearview Energy,Inc</t>
  </si>
  <si>
    <t>ConEdison Solutions</t>
  </si>
  <si>
    <t>Connecticut Gas &amp; Electric, Inc.</t>
  </si>
  <si>
    <t>Constellation Energy Services, Inc.</t>
  </si>
  <si>
    <t>Constellation NewEnergy</t>
  </si>
  <si>
    <t>Constellation NewEnergy - MM</t>
  </si>
  <si>
    <t>Constellation Power Choice, LLC.</t>
  </si>
  <si>
    <t>Direct Energy Bisiness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</si>
  <si>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</si>
  <si>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</si>
  <si>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</si>
  <si>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</si>
  <si>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</si>
  <si>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</si>
  <si>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</si>
  <si>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HIKO Energy, LLC</t>
  </si>
  <si>
    <t>Major Energy Electric Services, LLC</t>
  </si>
  <si>
    <t>Mega Energy of New England</t>
  </si>
  <si>
    <t>Mint Energy, LLC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</si>
  <si>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</si>
  <si>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</si>
  <si>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</si>
  <si>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</si>
  <si>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</si>
  <si>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</si>
  <si>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</si>
  <si>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</si>
  <si>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</si>
  <si>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</si>
  <si>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TransCanada Power Marketing Ltd.</t>
  </si>
  <si>
    <t>Verde Energy USA, Inc.</t>
  </si>
  <si>
    <t>Viridian Energy, Inc.</t>
  </si>
  <si>
    <t>XOOM Energy Connecticut, LLC</t>
  </si>
  <si>
    <t>Constellation NewEnergy - C&amp;I</t>
  </si>
  <si>
    <t>Data as of October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</si>
</sst>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protection locked="0"/>
    </xf>
    <xf numFmtId="3" fontId="1" fillId="0" borderId="0" xfId="3" applyNumberFormat="1" applyFont="1" applyFill="1" applyBorder="1" applyAlignment="1" applyProtection="1">
      <alignment horizontal="center"/>
      <protection locked="0"/>
    </xf>
    <xf numFmtId="3" fontId="1" fillId="0" borderId="0" xfId="0" applyNumberFormat="1" applyFont="1" applyFill="1" applyBorder="1" applyAlignment="1" applyProtection="1">
      <alignment horizontal="center"/>
    </xf>
    <xf numFmtId="164" fontId="9" fillId="0" borderId="0" xfId="2" applyNumberFormat="1" applyFont="1" applyFill="1" applyBorder="1" applyAlignment="1" applyProtection="1">
      <alignment horizontal="center"/>
    </xf>
    <xf numFmtId="0" fontId="8" fillId="0" borderId="0" xfId="3" applyFont="1" applyFill="1" applyBorder="1" applyProtection="1"/>
    <xf numFmtId="3" fontId="8" fillId="0" borderId="0" xfId="3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0" fillId="0" borderId="2" xfId="0" applyBorder="1" applyAlignment="1">
      <alignment vertical="top"/>
    </xf>
    <xf numFmtId="0" fontId="0" fillId="0" borderId="2" xfId="0" applyNumberFormat="1" applyBorder="1" applyAlignment="1">
      <alignment vertical="top"/>
    </xf>
    <xf numFmtId="0" fontId="0" fillId="0" borderId="2" xfId="0" applyBorder="1" applyAlignment="1"/>
    <xf numFmtId="0" fontId="4" fillId="2" borderId="0" xfId="0" applyFont="1" applyFill="1" applyBorder="1" applyAlignment="1" applyProtection="1"/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\COMMON\!!%20-%20Supplier%20Relations\Katerina\2017-10\201710_October_2017_customer_count_calcu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7_Total/2017_10_October_total_load_by_seg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 Segment"/>
      <sheetName val="Summary Business"/>
      <sheetName val="Summary Residential"/>
      <sheetName val="Summary SOL"/>
      <sheetName val="Supplier"/>
      <sheetName val="For RFP"/>
      <sheetName val="For RFP(BW)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97941</v>
          </cell>
        </row>
        <row r="19">
          <cell r="B19">
            <v>24558</v>
          </cell>
        </row>
        <row r="20">
          <cell r="B20">
            <v>210</v>
          </cell>
        </row>
        <row r="22">
          <cell r="B22">
            <v>194492</v>
          </cell>
        </row>
        <row r="23">
          <cell r="B23">
            <v>19546</v>
          </cell>
        </row>
        <row r="24">
          <cell r="B24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H24">
            <v>51384.678000000022</v>
          </cell>
        </row>
        <row r="25">
          <cell r="H25">
            <v>160052.36899999939</v>
          </cell>
        </row>
        <row r="26">
          <cell r="H26">
            <v>67514.390999999829</v>
          </cell>
        </row>
        <row r="29">
          <cell r="H29">
            <v>88161.267999999996</v>
          </cell>
        </row>
        <row r="30">
          <cell r="H30">
            <v>37330.955999999998</v>
          </cell>
        </row>
        <row r="31">
          <cell r="H31">
            <v>5455.6090000000013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topLeftCell="A16" zoomScaleNormal="100" workbookViewId="0">
      <selection activeCell="A7" sqref="A7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15" s="9" customFormat="1" ht="18" customHeight="1" x14ac:dyDescent="0.25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15" s="9" customFormat="1" ht="18" customHeight="1" x14ac:dyDescent="0.25">
      <c r="A2" s="25" t="s">
        <v>57</v>
      </c>
      <c r="B2" s="26"/>
      <c r="C2" s="26"/>
      <c r="D2" s="26"/>
      <c r="E2" s="26"/>
      <c r="F2" s="26"/>
      <c r="G2" s="27"/>
      <c r="H2" s="28"/>
      <c r="I2" s="28"/>
    </row>
    <row r="3" spans="1:15" s="9" customFormat="1" ht="18" customHeight="1" x14ac:dyDescent="0.25">
      <c r="A3" s="25" t="s">
        <v>34</v>
      </c>
      <c r="B3" s="26"/>
      <c r="C3" s="26"/>
      <c r="D3" s="26"/>
      <c r="E3" s="26"/>
      <c r="F3" s="26"/>
      <c r="G3" s="27"/>
      <c r="H3" s="28"/>
      <c r="I3" s="28"/>
    </row>
    <row r="4" spans="1:15" s="9" customFormat="1" ht="18" customHeight="1" x14ac:dyDescent="0.25">
      <c r="A4" s="25" t="s">
        <v>27</v>
      </c>
      <c r="B4" s="26"/>
      <c r="C4" s="26"/>
      <c r="D4" s="26"/>
      <c r="E4" s="26"/>
      <c r="F4" s="26"/>
      <c r="G4" s="27"/>
      <c r="H4" s="28"/>
      <c r="I4" s="28"/>
    </row>
    <row r="5" spans="1:15" s="9" customFormat="1" ht="18" customHeight="1" x14ac:dyDescent="0.25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15" s="9" customFormat="1" ht="18" customHeight="1" x14ac:dyDescent="0.25">
      <c r="A6" s="24" t="s">
        <v>98</v>
      </c>
      <c r="B6" s="28"/>
      <c r="C6" s="28"/>
      <c r="D6" s="73"/>
      <c r="E6" s="73"/>
      <c r="F6" s="73"/>
      <c r="G6" s="28"/>
      <c r="H6" s="28"/>
      <c r="I6" s="28"/>
    </row>
    <row r="8" spans="1:15" ht="18" customHeight="1" x14ac:dyDescent="0.25">
      <c r="A8" s="31" t="s">
        <v>30</v>
      </c>
      <c r="B8" s="32"/>
      <c r="C8" s="32"/>
      <c r="D8" s="32"/>
      <c r="E8" s="32"/>
      <c r="F8" s="32"/>
      <c r="G8" s="33"/>
      <c r="H8" s="28"/>
      <c r="I8" s="28"/>
    </row>
    <row r="9" spans="1:15" s="38" customFormat="1" ht="18" customHeight="1" x14ac:dyDescent="0.25">
      <c r="A9" s="3"/>
      <c r="B9" s="34" t="s">
        <v>31</v>
      </c>
      <c r="C9" s="35"/>
      <c r="D9" s="34" t="s">
        <v>8</v>
      </c>
      <c r="E9" s="36"/>
      <c r="F9" s="34" t="s">
        <v>9</v>
      </c>
      <c r="G9" s="37"/>
      <c r="H9" s="34" t="s">
        <v>33</v>
      </c>
      <c r="I9" s="36"/>
    </row>
    <row r="10" spans="1:15" ht="18" customHeight="1" x14ac:dyDescent="0.25">
      <c r="A10" s="39"/>
      <c r="B10" s="40" t="s">
        <v>10</v>
      </c>
      <c r="C10" s="41" t="s">
        <v>20</v>
      </c>
      <c r="D10" s="40" t="str">
        <f>B10</f>
        <v>MWh</v>
      </c>
      <c r="E10" s="41" t="s">
        <v>20</v>
      </c>
      <c r="F10" s="40" t="str">
        <f>D10</f>
        <v>MWh</v>
      </c>
      <c r="G10" s="41" t="s">
        <v>20</v>
      </c>
      <c r="H10" s="40" t="str">
        <f>F10</f>
        <v>MWh</v>
      </c>
      <c r="I10" s="41" t="s">
        <v>19</v>
      </c>
    </row>
    <row r="11" spans="1:15" ht="18" customHeight="1" x14ac:dyDescent="0.25">
      <c r="A11" s="42" t="s">
        <v>11</v>
      </c>
      <c r="B11" s="71">
        <f>[2]Check!$H$24</f>
        <v>51384.678000000022</v>
      </c>
      <c r="C11" s="43">
        <f>IF(B11=0,0,B11/$B$13)</f>
        <v>0.36822766603337953</v>
      </c>
      <c r="D11" s="71">
        <f>[2]Check!$H$25</f>
        <v>160052.36899999939</v>
      </c>
      <c r="E11" s="43">
        <f>IF(D11=0,0,D11/$D$13)</f>
        <v>0.8108707713784834</v>
      </c>
      <c r="F11" s="71">
        <f>[2]Check!$H$26</f>
        <v>67514.390999999829</v>
      </c>
      <c r="G11" s="43">
        <f>IF(F11=0,0,F11/$F$13)</f>
        <v>0.92523490475537884</v>
      </c>
      <c r="H11" s="44">
        <f>IF(B11+D11+F11=0,0,B11+D11+F11)</f>
        <v>278951.43799999927</v>
      </c>
      <c r="I11" s="43">
        <f>IF(H11=0,0,H11/$H$13)</f>
        <v>0.68053655552854053</v>
      </c>
    </row>
    <row r="12" spans="1:15" ht="18" customHeight="1" x14ac:dyDescent="0.25">
      <c r="A12" s="42" t="s">
        <v>12</v>
      </c>
      <c r="B12" s="72">
        <f>[2]Check!$H$29</f>
        <v>88161.267999999996</v>
      </c>
      <c r="C12" s="43">
        <f>IF(B12=0,0,B12/$B$13)</f>
        <v>0.63177233396662047</v>
      </c>
      <c r="D12" s="72">
        <f>[2]Check!$H$30</f>
        <v>37330.955999999998</v>
      </c>
      <c r="E12" s="43">
        <f>IF(D12=0,0,D12/$D$13)</f>
        <v>0.1891292286215166</v>
      </c>
      <c r="F12" s="72">
        <f>[2]Check!$H$31</f>
        <v>5455.6090000000013</v>
      </c>
      <c r="G12" s="43">
        <f>IF(F12=0,0,F12/$F$13)</f>
        <v>7.4765095244621271E-2</v>
      </c>
      <c r="H12" s="105">
        <f>IF(B12+D12+F12=0,0,B12+D12+F12)</f>
        <v>130947.83299999998</v>
      </c>
      <c r="I12" s="43">
        <f>IF(H12=0,0,H12/$H$13)</f>
        <v>0.31946344447145947</v>
      </c>
    </row>
    <row r="13" spans="1:15" ht="18" customHeight="1" x14ac:dyDescent="0.25">
      <c r="A13" s="122" t="s">
        <v>7</v>
      </c>
      <c r="B13" s="45">
        <f>SUM(B11:B12)</f>
        <v>139545.94600000003</v>
      </c>
      <c r="C13" s="46"/>
      <c r="D13" s="45">
        <f>SUM(D11:D12)</f>
        <v>197383.3249999994</v>
      </c>
      <c r="E13" s="46"/>
      <c r="F13" s="45">
        <f>SUM(F11:F12)</f>
        <v>72969.999999999825</v>
      </c>
      <c r="G13" s="46"/>
      <c r="H13" s="45">
        <f>IF(H11+H12=0,0,H11+H12)</f>
        <v>409899.27099999925</v>
      </c>
      <c r="I13" s="47"/>
    </row>
    <row r="14" spans="1:15" ht="18" customHeight="1" x14ac:dyDescent="0.25">
      <c r="A14" s="102" t="str">
        <f>"As the above table shows, "&amp;TEXT(H11,"0,000")&amp; " MWh, or "&amp;TEXT(I11,"0.0%")&amp;" of UI's total load is served by electric suppliers"</f>
        <v>As the above table shows, 278,951 MWh, or 68.1% of UI's total load is served by electric suppliers</v>
      </c>
      <c r="H14" s="30"/>
      <c r="L14" s="104"/>
      <c r="M14" s="104"/>
      <c r="O14" s="104"/>
    </row>
    <row r="15" spans="1:15" ht="18" customHeight="1" x14ac:dyDescent="0.25">
      <c r="A15" s="102" t="str">
        <f>"while "&amp;TEXT(H12,"0,000")&amp;" MHh, or "&amp;TEXT(I12,"0.0%")&amp;" of the load is provided under Standard Service or Last Resort service through UI."</f>
        <v>while 130,948 MHh, or 31.9% of the load is provided under Standard Service or Last Resort service through UI.</v>
      </c>
      <c r="B15" s="49"/>
      <c r="C15" s="50"/>
      <c r="D15" s="49"/>
      <c r="E15" s="50"/>
      <c r="F15" s="51"/>
      <c r="G15" s="52"/>
      <c r="H15" s="30"/>
    </row>
    <row r="16" spans="1:15" ht="13.8" x14ac:dyDescent="0.25">
      <c r="G16" s="52"/>
      <c r="H16" s="30"/>
    </row>
    <row r="17" spans="1:17" ht="18" customHeight="1" x14ac:dyDescent="0.25">
      <c r="A17" s="31" t="s">
        <v>29</v>
      </c>
      <c r="B17" s="32"/>
      <c r="C17" s="32"/>
      <c r="D17" s="32"/>
      <c r="E17" s="32"/>
      <c r="F17" s="32"/>
      <c r="G17" s="53"/>
      <c r="H17" s="27"/>
      <c r="I17" s="28"/>
    </row>
    <row r="18" spans="1:17" ht="18" customHeight="1" x14ac:dyDescent="0.25">
      <c r="A18" s="42"/>
      <c r="B18" s="34" t="s">
        <v>31</v>
      </c>
      <c r="C18" s="54"/>
      <c r="D18" s="34" t="s">
        <v>8</v>
      </c>
      <c r="E18" s="55"/>
      <c r="F18" s="34" t="s">
        <v>9</v>
      </c>
      <c r="G18" s="37"/>
      <c r="H18" s="34" t="s">
        <v>33</v>
      </c>
      <c r="I18" s="36"/>
      <c r="O18" s="103"/>
    </row>
    <row r="19" spans="1:17" ht="18" customHeight="1" x14ac:dyDescent="0.25">
      <c r="A19" s="39"/>
      <c r="B19" s="40" t="s">
        <v>14</v>
      </c>
      <c r="C19" s="41" t="s">
        <v>20</v>
      </c>
      <c r="D19" s="40" t="str">
        <f>B19</f>
        <v>Customers</v>
      </c>
      <c r="E19" s="41" t="s">
        <v>20</v>
      </c>
      <c r="F19" s="40" t="str">
        <f>D19</f>
        <v>Customers</v>
      </c>
      <c r="G19" s="41" t="s">
        <v>20</v>
      </c>
      <c r="H19" s="40" t="str">
        <f>F19</f>
        <v>Customers</v>
      </c>
      <c r="I19" s="41" t="s">
        <v>19</v>
      </c>
    </row>
    <row r="20" spans="1:17" ht="18" customHeight="1" x14ac:dyDescent="0.25">
      <c r="A20" s="42" t="str">
        <f>A11</f>
        <v>Suppliers</v>
      </c>
      <c r="B20" s="71">
        <f>[1]Summary!$B$18</f>
        <v>97941</v>
      </c>
      <c r="C20" s="43">
        <f>IF(B20=0,0,B20/$B$22)</f>
        <v>0.33491774184172102</v>
      </c>
      <c r="D20" s="71">
        <f>[1]Summary!$B$19</f>
        <v>24558</v>
      </c>
      <c r="E20" s="56">
        <f>IF(D20=0,0,D20/$D$22)</f>
        <v>0.55682024306185385</v>
      </c>
      <c r="F20" s="71">
        <f>[1]Summary!$B$20</f>
        <v>210</v>
      </c>
      <c r="G20" s="43">
        <f>IF(F20=0,0,F20/$F$22)</f>
        <v>0.90909090909090906</v>
      </c>
      <c r="H20" s="44">
        <f>IF(B20+D20+F20=0,0,B20+D20+F20)</f>
        <v>122709</v>
      </c>
      <c r="I20" s="43">
        <f>IF(H20=0,0,H20/$H$22)</f>
        <v>0.36437250570125429</v>
      </c>
      <c r="J20" s="57"/>
      <c r="M20" s="104"/>
    </row>
    <row r="21" spans="1:17" ht="18" customHeight="1" x14ac:dyDescent="0.25">
      <c r="A21" s="42" t="str">
        <f>A12</f>
        <v>UI</v>
      </c>
      <c r="B21" s="72">
        <f>[1]Summary!$B$22</f>
        <v>194492</v>
      </c>
      <c r="C21" s="43">
        <f>IF(B21=0,0,B21/$B$22)</f>
        <v>0.66508225815827904</v>
      </c>
      <c r="D21" s="72">
        <f>[1]Summary!$B$23</f>
        <v>19546</v>
      </c>
      <c r="E21" s="56">
        <f>IF(D21=0,0,D21/$D$22)</f>
        <v>0.44317975693814621</v>
      </c>
      <c r="F21" s="72">
        <f>[1]Summary!$B$24</f>
        <v>21</v>
      </c>
      <c r="G21" s="43">
        <f>IF(F21=0,0,F21/$F$22)</f>
        <v>9.0909090909090912E-2</v>
      </c>
      <c r="H21" s="72">
        <f>IF(B21+D21+F21=0,0,B21+D21+F21)</f>
        <v>214059</v>
      </c>
      <c r="I21" s="43">
        <f>IF(H21=0,0,H21/$H$22)</f>
        <v>0.63562749429874577</v>
      </c>
    </row>
    <row r="22" spans="1:17" ht="18" customHeight="1" x14ac:dyDescent="0.25">
      <c r="A22" s="42" t="str">
        <f>A13</f>
        <v>Total</v>
      </c>
      <c r="B22" s="45">
        <f>SUM(B20:B21)</f>
        <v>292433</v>
      </c>
      <c r="C22" s="58"/>
      <c r="D22" s="45">
        <f>SUM(D20:D21)</f>
        <v>44104</v>
      </c>
      <c r="E22" s="46"/>
      <c r="F22" s="45">
        <f>SUM(F20:F21)</f>
        <v>231</v>
      </c>
      <c r="G22" s="46"/>
      <c r="H22" s="45">
        <f>IF(H20+H21=0,0,H20+H21)</f>
        <v>336768</v>
      </c>
      <c r="I22" s="47"/>
      <c r="N22" s="104"/>
      <c r="Q22" s="104"/>
    </row>
    <row r="23" spans="1:17" ht="18" customHeight="1" x14ac:dyDescent="0.25">
      <c r="G23" s="52"/>
      <c r="H23" s="30"/>
    </row>
    <row r="24" spans="1:17" ht="18" customHeight="1" x14ac:dyDescent="0.25">
      <c r="A24" s="102" t="str">
        <f>"As the above table shows, "&amp;TEXT(H20,"0,000")&amp; " of UI's total customers, or "&amp;TEXT(I20,"0.0%")&amp;" are served by electric suppliers"</f>
        <v>As the above table shows, 122,709 of UI's total customers, or 36.4% are served by electric suppliers</v>
      </c>
      <c r="G24" s="52"/>
      <c r="H24" s="30"/>
      <c r="J24" s="104"/>
    </row>
    <row r="25" spans="1:17" ht="18" customHeight="1" x14ac:dyDescent="0.25">
      <c r="A25" s="102" t="str">
        <f>"while "&amp;TEXT(H21,"0,000")&amp;" or "&amp;TEXT(I21,"0.0%")&amp;" of the customers continue to receive Standard Service or Last Resort service through UI."</f>
        <v>while 214,059 or 63.6% of the customers continue to receive Standard Service or Last Resort service through UI.</v>
      </c>
      <c r="B25" s="59"/>
      <c r="C25" s="59"/>
      <c r="D25" s="59"/>
      <c r="E25" s="59"/>
      <c r="F25" s="60"/>
      <c r="G25" s="61"/>
      <c r="H25" s="30"/>
    </row>
    <row r="26" spans="1:17" ht="18" customHeight="1" x14ac:dyDescent="0.25">
      <c r="B26" s="30"/>
      <c r="C26" s="30"/>
      <c r="D26" s="61"/>
      <c r="E26" s="61"/>
      <c r="F26" s="62"/>
      <c r="G26" s="62"/>
      <c r="H26" s="30"/>
    </row>
    <row r="28" spans="1:17" ht="13.8" x14ac:dyDescent="0.25">
      <c r="A28" s="69" t="s">
        <v>28</v>
      </c>
      <c r="I28" s="104"/>
    </row>
    <row r="29" spans="1:17" ht="13.8" x14ac:dyDescent="0.25">
      <c r="A29" s="69" t="s">
        <v>32</v>
      </c>
    </row>
    <row r="30" spans="1:17" ht="13.8" x14ac:dyDescent="0.25">
      <c r="A30" s="69" t="s">
        <v>50</v>
      </c>
    </row>
    <row r="31" spans="1:17" x14ac:dyDescent="0.25">
      <c r="A31" s="70" t="s">
        <v>18</v>
      </c>
    </row>
    <row r="32" spans="1:17" x14ac:dyDescent="0.25">
      <c r="A32" s="70" t="s">
        <v>24</v>
      </c>
    </row>
    <row r="36" spans="1:1" x14ac:dyDescent="0.25">
      <c r="A36" s="104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showZeros="0" zoomScaleNormal="100" workbookViewId="0">
      <selection activeCell="E53" sqref="E53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9" customFormat="1" ht="18" customHeight="1" x14ac:dyDescent="0.25">
      <c r="A1" s="14" t="str">
        <f>'Summary Load Customers '!A1</f>
        <v>The United Illuminating Company</v>
      </c>
      <c r="B1" s="15"/>
      <c r="C1" s="15"/>
      <c r="D1" s="15"/>
      <c r="E1" s="15"/>
      <c r="F1" s="7"/>
      <c r="G1" s="8"/>
      <c r="H1" s="8"/>
      <c r="I1" s="8"/>
      <c r="J1" s="8"/>
      <c r="K1" s="8"/>
    </row>
    <row r="2" spans="1:11" s="9" customFormat="1" ht="18" customHeight="1" x14ac:dyDescent="0.25">
      <c r="A2" s="116" t="s">
        <v>57</v>
      </c>
      <c r="B2" s="116"/>
      <c r="C2" s="116"/>
      <c r="D2" s="116"/>
      <c r="E2" s="116"/>
      <c r="F2" s="116"/>
      <c r="G2" s="27"/>
      <c r="H2" s="28"/>
      <c r="I2" s="28"/>
    </row>
    <row r="3" spans="1:11" s="9" customFormat="1" ht="18" customHeight="1" x14ac:dyDescent="0.25">
      <c r="A3" s="14" t="s">
        <v>1</v>
      </c>
      <c r="B3" s="15"/>
      <c r="C3" s="15"/>
      <c r="D3" s="15"/>
      <c r="E3" s="15"/>
      <c r="F3" s="7"/>
      <c r="G3" s="8"/>
      <c r="H3" s="8"/>
      <c r="I3" s="8"/>
      <c r="J3" s="8"/>
      <c r="K3" s="8"/>
    </row>
    <row r="4" spans="1:11" s="9" customFormat="1" ht="18" customHeight="1" x14ac:dyDescent="0.25">
      <c r="A4" s="14" t="s">
        <v>2</v>
      </c>
      <c r="B4" s="15"/>
      <c r="C4" s="15"/>
      <c r="D4" s="15"/>
      <c r="E4" s="15"/>
      <c r="F4" s="7"/>
      <c r="G4" s="8"/>
      <c r="H4" s="8"/>
      <c r="I4" s="8"/>
      <c r="J4" s="8"/>
      <c r="K4" s="8"/>
    </row>
    <row r="5" spans="1:11" s="9" customFormat="1" ht="18" customHeight="1" x14ac:dyDescent="0.25">
      <c r="A5" s="10" t="str">
        <f>'Summary Load Customers '!A6</f>
        <v>Data as of October 31, 2017</v>
      </c>
      <c r="B5" s="15"/>
      <c r="C5" s="15"/>
      <c r="D5" s="15"/>
      <c r="E5" s="15"/>
      <c r="F5" s="16"/>
      <c r="G5" s="8"/>
      <c r="H5" s="8"/>
      <c r="I5" s="8"/>
      <c r="J5" s="8"/>
      <c r="K5" s="8"/>
    </row>
    <row r="6" spans="1:11" ht="9" customHeight="1" x14ac:dyDescent="0.25">
      <c r="A6" s="17"/>
      <c r="B6" s="6"/>
      <c r="C6" s="18"/>
      <c r="D6" s="18"/>
      <c r="E6" s="12"/>
      <c r="F6" s="12"/>
    </row>
    <row r="7" spans="1:11" s="9" customFormat="1" ht="18" customHeight="1" x14ac:dyDescent="0.25">
      <c r="A7" s="19"/>
      <c r="B7" s="20"/>
      <c r="C7" s="4" t="s">
        <v>3</v>
      </c>
      <c r="D7" s="13"/>
      <c r="E7" s="13"/>
      <c r="F7" s="21"/>
      <c r="G7" s="8"/>
      <c r="H7" s="8"/>
      <c r="I7" s="8"/>
      <c r="J7" s="8"/>
      <c r="K7" s="8"/>
    </row>
    <row r="8" spans="1:11" ht="26.4" x14ac:dyDescent="0.25">
      <c r="A8" s="22"/>
      <c r="B8" s="5" t="s">
        <v>4</v>
      </c>
      <c r="C8" s="5" t="s">
        <v>5</v>
      </c>
      <c r="D8" s="5" t="s">
        <v>6</v>
      </c>
      <c r="E8" s="5" t="s">
        <v>7</v>
      </c>
      <c r="F8" s="5" t="s">
        <v>25</v>
      </c>
    </row>
    <row r="9" spans="1:11" ht="14.25" customHeight="1" x14ac:dyDescent="0.25">
      <c r="A9" s="108">
        <v>1</v>
      </c>
      <c r="B9" s="119" t="s">
        <v>60</v>
      </c>
      <c r="C9" s="120">
        <v>343</v>
      </c>
      <c r="D9" s="120">
        <v>294</v>
      </c>
      <c r="E9" s="119">
        <v>637</v>
      </c>
      <c r="F9" s="23">
        <f t="shared" ref="F9:F40" si="0">IF(E9=0,"",E9/$E$53)</f>
        <v>5.1911432739244878E-3</v>
      </c>
    </row>
    <row r="10" spans="1:11" ht="14.25" customHeight="1" x14ac:dyDescent="0.25">
      <c r="A10" s="108">
        <v>2</v>
      </c>
      <c r="B10" s="119" t="s">
        <v>58</v>
      </c>
      <c r="C10" s="120">
        <v>493</v>
      </c>
      <c r="D10" s="120">
        <v>667</v>
      </c>
      <c r="E10" s="119">
        <v>1160</v>
      </c>
      <c r="F10" s="23">
        <f t="shared" si="0"/>
        <v>9.4532593371309363E-3</v>
      </c>
    </row>
    <row r="11" spans="1:11" ht="14.25" customHeight="1" x14ac:dyDescent="0.25">
      <c r="A11" s="108">
        <v>3</v>
      </c>
      <c r="B11" s="119" t="s">
        <v>51</v>
      </c>
      <c r="C11" s="120">
        <v>9794</v>
      </c>
      <c r="D11" s="120">
        <v>986</v>
      </c>
      <c r="E11" s="119">
        <v>10780</v>
      </c>
      <c r="F11" s="23">
        <f t="shared" si="0"/>
        <v>8.7850116943337483E-2</v>
      </c>
    </row>
    <row r="12" spans="1:11" ht="14.25" customHeight="1" x14ac:dyDescent="0.25">
      <c r="A12" s="108">
        <v>4</v>
      </c>
      <c r="B12" s="119" t="s">
        <v>59</v>
      </c>
      <c r="C12" s="120">
        <v>1</v>
      </c>
      <c r="D12" s="120">
        <v>12</v>
      </c>
      <c r="E12" s="119">
        <v>13</v>
      </c>
      <c r="F12" s="23">
        <f t="shared" si="0"/>
        <v>1.0594169946784669E-4</v>
      </c>
    </row>
    <row r="13" spans="1:11" ht="14.25" customHeight="1" x14ac:dyDescent="0.25">
      <c r="A13" s="108">
        <v>5</v>
      </c>
      <c r="B13" s="119" t="s">
        <v>55</v>
      </c>
      <c r="C13" s="120">
        <v>5</v>
      </c>
      <c r="D13" s="120">
        <v>189</v>
      </c>
      <c r="E13" s="119">
        <v>194</v>
      </c>
      <c r="F13" s="23">
        <f t="shared" si="0"/>
        <v>1.5809761305201737E-3</v>
      </c>
    </row>
    <row r="14" spans="1:11" ht="14.25" customHeight="1" x14ac:dyDescent="0.25">
      <c r="A14" s="108">
        <v>6</v>
      </c>
      <c r="B14" s="119" t="s">
        <v>61</v>
      </c>
      <c r="C14" s="120">
        <v>16</v>
      </c>
      <c r="D14" s="120">
        <v>3045</v>
      </c>
      <c r="E14" s="119">
        <v>3061</v>
      </c>
      <c r="F14" s="23">
        <f t="shared" si="0"/>
        <v>2.4945195543929134E-2</v>
      </c>
    </row>
    <row r="15" spans="1:11" ht="14.25" customHeight="1" x14ac:dyDescent="0.25">
      <c r="A15" s="108">
        <v>7</v>
      </c>
      <c r="B15" s="119" t="s">
        <v>97</v>
      </c>
      <c r="C15" s="120">
        <v>381</v>
      </c>
      <c r="D15" s="120">
        <v>835</v>
      </c>
      <c r="E15" s="119">
        <v>1216</v>
      </c>
      <c r="F15" s="23">
        <f t="shared" si="0"/>
        <v>9.9096235809924289E-3</v>
      </c>
    </row>
    <row r="16" spans="1:11" ht="14.25" customHeight="1" x14ac:dyDescent="0.25">
      <c r="A16" s="108">
        <v>8</v>
      </c>
      <c r="B16" s="121" t="s">
        <v>62</v>
      </c>
      <c r="C16" s="120">
        <v>0</v>
      </c>
      <c r="D16" s="120">
        <v>24</v>
      </c>
      <c r="E16" s="119">
        <v>24</v>
      </c>
      <c r="F16" s="23">
        <f t="shared" si="0"/>
        <v>1.9558467594064005E-4</v>
      </c>
    </row>
    <row r="17" spans="1:6" ht="14.25" customHeight="1" x14ac:dyDescent="0.25">
      <c r="A17" s="108">
        <v>9</v>
      </c>
      <c r="B17" s="119" t="s">
        <v>63</v>
      </c>
      <c r="C17" s="120">
        <v>733</v>
      </c>
      <c r="D17" s="120">
        <v>33</v>
      </c>
      <c r="E17" s="119">
        <v>766</v>
      </c>
      <c r="F17" s="23">
        <f t="shared" si="0"/>
        <v>6.2424109071054284E-3</v>
      </c>
    </row>
    <row r="18" spans="1:6" ht="14.25" customHeight="1" x14ac:dyDescent="0.25">
      <c r="A18" s="108">
        <v>10</v>
      </c>
      <c r="B18" s="119" t="s">
        <v>64</v>
      </c>
      <c r="C18" s="120">
        <v>5175</v>
      </c>
      <c r="D18" s="120">
        <v>181</v>
      </c>
      <c r="E18" s="119">
        <v>5356</v>
      </c>
      <c r="F18" s="23">
        <f t="shared" si="0"/>
        <v>4.3647980180752839E-2</v>
      </c>
    </row>
    <row r="19" spans="1:6" ht="14.25" customHeight="1" x14ac:dyDescent="0.25">
      <c r="A19" s="108">
        <v>11</v>
      </c>
      <c r="B19" s="119" t="s">
        <v>65</v>
      </c>
      <c r="C19" s="120">
        <v>76</v>
      </c>
      <c r="D19" s="120">
        <v>232</v>
      </c>
      <c r="E19" s="119">
        <v>308</v>
      </c>
      <c r="F19" s="23">
        <f t="shared" si="0"/>
        <v>2.5100033412382141E-3</v>
      </c>
    </row>
    <row r="20" spans="1:6" ht="14.25" customHeight="1" x14ac:dyDescent="0.25">
      <c r="A20" s="108">
        <v>12</v>
      </c>
      <c r="B20" s="119" t="s">
        <v>66</v>
      </c>
      <c r="C20" s="120">
        <v>752</v>
      </c>
      <c r="D20" s="120">
        <v>139</v>
      </c>
      <c r="E20" s="119">
        <v>891</v>
      </c>
      <c r="F20" s="23">
        <f t="shared" si="0"/>
        <v>7.2610810942962617E-3</v>
      </c>
    </row>
    <row r="21" spans="1:6" ht="14.25" customHeight="1" x14ac:dyDescent="0.25">
      <c r="A21" s="108">
        <v>13</v>
      </c>
      <c r="B21" s="119" t="s">
        <v>67</v>
      </c>
      <c r="C21" s="120">
        <v>58</v>
      </c>
      <c r="D21" s="120">
        <v>67</v>
      </c>
      <c r="E21" s="119">
        <v>125</v>
      </c>
      <c r="F21" s="23">
        <f t="shared" si="0"/>
        <v>1.0186701871908335E-3</v>
      </c>
    </row>
    <row r="22" spans="1:6" ht="14.25" customHeight="1" x14ac:dyDescent="0.25">
      <c r="A22" s="108">
        <v>14</v>
      </c>
      <c r="B22" s="119" t="s">
        <v>68</v>
      </c>
      <c r="C22" s="120">
        <v>298</v>
      </c>
      <c r="D22" s="120">
        <v>2852</v>
      </c>
      <c r="E22" s="119">
        <v>3150</v>
      </c>
      <c r="F22" s="23">
        <f t="shared" si="0"/>
        <v>2.5670488717209006E-2</v>
      </c>
    </row>
    <row r="23" spans="1:6" ht="14.25" customHeight="1" x14ac:dyDescent="0.25">
      <c r="A23" s="108">
        <v>15</v>
      </c>
      <c r="B23" s="119" t="s">
        <v>69</v>
      </c>
      <c r="C23" s="120">
        <v>10871</v>
      </c>
      <c r="D23" s="120">
        <v>1374</v>
      </c>
      <c r="E23" s="119">
        <v>12245</v>
      </c>
      <c r="F23" s="23">
        <f t="shared" si="0"/>
        <v>9.9788931537214062E-2</v>
      </c>
    </row>
    <row r="24" spans="1:6" ht="14.25" customHeight="1" x14ac:dyDescent="0.25">
      <c r="A24" s="108">
        <v>16</v>
      </c>
      <c r="B24" s="119" t="s">
        <v>70</v>
      </c>
      <c r="C24" s="120">
        <v>3</v>
      </c>
      <c r="D24" s="120">
        <v>2</v>
      </c>
      <c r="E24" s="119">
        <v>5</v>
      </c>
      <c r="F24" s="23">
        <f t="shared" si="0"/>
        <v>4.0746807487633344E-5</v>
      </c>
    </row>
    <row r="25" spans="1:6" ht="14.25" customHeight="1" x14ac:dyDescent="0.25">
      <c r="A25" s="108">
        <v>17</v>
      </c>
      <c r="B25" s="119" t="s">
        <v>71</v>
      </c>
      <c r="C25" s="120">
        <v>86</v>
      </c>
      <c r="D25" s="120">
        <v>1464</v>
      </c>
      <c r="E25" s="119">
        <v>1550</v>
      </c>
      <c r="F25" s="23">
        <f t="shared" si="0"/>
        <v>1.2631510321166337E-2</v>
      </c>
    </row>
    <row r="26" spans="1:6" ht="14.25" customHeight="1" x14ac:dyDescent="0.25">
      <c r="A26" s="108">
        <v>18</v>
      </c>
      <c r="B26" s="119" t="s">
        <v>72</v>
      </c>
      <c r="C26" s="120">
        <v>11081</v>
      </c>
      <c r="D26" s="120">
        <v>3327</v>
      </c>
      <c r="E26" s="119">
        <v>14408</v>
      </c>
      <c r="F26" s="23">
        <f t="shared" si="0"/>
        <v>0.11741600045636424</v>
      </c>
    </row>
    <row r="27" spans="1:6" ht="14.25" customHeight="1" x14ac:dyDescent="0.25">
      <c r="A27" s="108">
        <v>19</v>
      </c>
      <c r="B27" s="119" t="s">
        <v>73</v>
      </c>
      <c r="C27" s="120">
        <v>4906</v>
      </c>
      <c r="D27" s="120">
        <v>455</v>
      </c>
      <c r="E27" s="119">
        <v>5361</v>
      </c>
      <c r="F27" s="23">
        <f t="shared" si="0"/>
        <v>4.3688726988240473E-2</v>
      </c>
    </row>
    <row r="28" spans="1:6" ht="14.25" customHeight="1" x14ac:dyDescent="0.25">
      <c r="A28" s="108">
        <v>20</v>
      </c>
      <c r="B28" s="119" t="s">
        <v>74</v>
      </c>
      <c r="C28" s="120">
        <v>4</v>
      </c>
      <c r="D28" s="120">
        <v>8</v>
      </c>
      <c r="E28" s="119">
        <v>12</v>
      </c>
      <c r="F28" s="23">
        <f t="shared" si="0"/>
        <v>9.7792337970320026E-5</v>
      </c>
    </row>
    <row r="29" spans="1:6" ht="14.25" customHeight="1" x14ac:dyDescent="0.25">
      <c r="A29" s="108">
        <v>21</v>
      </c>
      <c r="B29" s="119" t="s">
        <v>75</v>
      </c>
      <c r="C29" s="120">
        <v>619</v>
      </c>
      <c r="D29" s="120">
        <v>154</v>
      </c>
      <c r="E29" s="119">
        <v>773</v>
      </c>
      <c r="F29" s="23">
        <f t="shared" si="0"/>
        <v>6.2994564375881152E-3</v>
      </c>
    </row>
    <row r="30" spans="1:6" ht="14.25" customHeight="1" x14ac:dyDescent="0.25">
      <c r="A30" s="108">
        <v>22</v>
      </c>
      <c r="B30" s="119" t="s">
        <v>76</v>
      </c>
      <c r="C30" s="120">
        <v>3</v>
      </c>
      <c r="D30" s="120">
        <v>0</v>
      </c>
      <c r="E30" s="119">
        <v>3</v>
      </c>
      <c r="F30" s="23">
        <f t="shared" si="0"/>
        <v>2.4448084492580006E-5</v>
      </c>
    </row>
    <row r="31" spans="1:6" ht="14.25" customHeight="1" x14ac:dyDescent="0.25">
      <c r="A31" s="108">
        <v>23</v>
      </c>
      <c r="B31" s="119" t="s">
        <v>77</v>
      </c>
      <c r="C31" s="120">
        <v>90</v>
      </c>
      <c r="D31" s="120">
        <v>619</v>
      </c>
      <c r="E31" s="119">
        <v>709</v>
      </c>
      <c r="F31" s="23">
        <f t="shared" si="0"/>
        <v>5.777897301746408E-3</v>
      </c>
    </row>
    <row r="32" spans="1:6" ht="14.25" customHeight="1" x14ac:dyDescent="0.25">
      <c r="A32" s="108">
        <v>24</v>
      </c>
      <c r="B32" s="119" t="s">
        <v>78</v>
      </c>
      <c r="C32" s="120">
        <v>190</v>
      </c>
      <c r="D32" s="120">
        <v>199</v>
      </c>
      <c r="E32" s="119">
        <v>389</v>
      </c>
      <c r="F32" s="23">
        <f t="shared" si="0"/>
        <v>3.1701016225378744E-3</v>
      </c>
    </row>
    <row r="33" spans="1:6" ht="14.25" customHeight="1" x14ac:dyDescent="0.25">
      <c r="A33" s="108">
        <v>25</v>
      </c>
      <c r="B33" s="119" t="s">
        <v>79</v>
      </c>
      <c r="C33" s="120">
        <v>868</v>
      </c>
      <c r="D33" s="120">
        <v>33</v>
      </c>
      <c r="E33" s="119">
        <v>901</v>
      </c>
      <c r="F33" s="23">
        <f t="shared" si="0"/>
        <v>7.3425747092715288E-3</v>
      </c>
    </row>
    <row r="34" spans="1:6" ht="14.25" customHeight="1" x14ac:dyDescent="0.25">
      <c r="A34" s="108">
        <v>26</v>
      </c>
      <c r="B34" s="119" t="s">
        <v>13</v>
      </c>
      <c r="C34" s="120">
        <v>3452</v>
      </c>
      <c r="D34" s="120">
        <v>402</v>
      </c>
      <c r="E34" s="119">
        <v>3854</v>
      </c>
      <c r="F34" s="23">
        <f t="shared" si="0"/>
        <v>3.1407639211467782E-2</v>
      </c>
    </row>
    <row r="35" spans="1:6" ht="14.25" customHeight="1" x14ac:dyDescent="0.25">
      <c r="A35" s="108">
        <v>27</v>
      </c>
      <c r="B35" s="119" t="s">
        <v>80</v>
      </c>
      <c r="C35" s="120">
        <v>1</v>
      </c>
      <c r="D35" s="120">
        <v>5</v>
      </c>
      <c r="E35" s="119">
        <v>6</v>
      </c>
      <c r="F35" s="23">
        <f t="shared" si="0"/>
        <v>4.8896168985160013E-5</v>
      </c>
    </row>
    <row r="36" spans="1:6" ht="14.25" customHeight="1" x14ac:dyDescent="0.25">
      <c r="A36" s="108">
        <v>28</v>
      </c>
      <c r="B36" s="119" t="s">
        <v>81</v>
      </c>
      <c r="C36" s="120">
        <v>226</v>
      </c>
      <c r="D36" s="120">
        <v>136</v>
      </c>
      <c r="E36" s="119">
        <v>362</v>
      </c>
      <c r="F36" s="23">
        <f t="shared" si="0"/>
        <v>2.9500688621046543E-3</v>
      </c>
    </row>
    <row r="37" spans="1:6" ht="14.25" customHeight="1" x14ac:dyDescent="0.25">
      <c r="A37" s="108">
        <v>29</v>
      </c>
      <c r="B37" s="121" t="s">
        <v>82</v>
      </c>
      <c r="C37" s="120">
        <v>0</v>
      </c>
      <c r="D37" s="120">
        <v>59</v>
      </c>
      <c r="E37" s="119">
        <v>59</v>
      </c>
      <c r="F37" s="23">
        <f t="shared" si="0"/>
        <v>4.8081232835407348E-4</v>
      </c>
    </row>
    <row r="38" spans="1:6" ht="14.25" customHeight="1" x14ac:dyDescent="0.25">
      <c r="A38" s="108">
        <v>30</v>
      </c>
      <c r="B38" s="119" t="s">
        <v>83</v>
      </c>
      <c r="C38" s="120">
        <v>340</v>
      </c>
      <c r="D38" s="120">
        <v>1318</v>
      </c>
      <c r="E38" s="119">
        <v>1658</v>
      </c>
      <c r="F38" s="23">
        <f t="shared" si="0"/>
        <v>1.3511641362899217E-2</v>
      </c>
    </row>
    <row r="39" spans="1:6" ht="14.25" customHeight="1" x14ac:dyDescent="0.25">
      <c r="A39" s="108">
        <v>31</v>
      </c>
      <c r="B39" s="119" t="s">
        <v>84</v>
      </c>
      <c r="C39" s="120">
        <v>8351</v>
      </c>
      <c r="D39" s="120">
        <v>508</v>
      </c>
      <c r="E39" s="119">
        <v>8859</v>
      </c>
      <c r="F39" s="23">
        <f t="shared" si="0"/>
        <v>7.2195193506588762E-2</v>
      </c>
    </row>
    <row r="40" spans="1:6" ht="14.25" customHeight="1" x14ac:dyDescent="0.25">
      <c r="A40" s="108">
        <v>32</v>
      </c>
      <c r="B40" s="119" t="s">
        <v>85</v>
      </c>
      <c r="C40" s="120">
        <v>1284</v>
      </c>
      <c r="D40" s="120">
        <v>323</v>
      </c>
      <c r="E40" s="119">
        <v>1607</v>
      </c>
      <c r="F40" s="23">
        <f t="shared" si="0"/>
        <v>1.3096023926525356E-2</v>
      </c>
    </row>
    <row r="41" spans="1:6" ht="14.25" customHeight="1" x14ac:dyDescent="0.25">
      <c r="A41" s="108">
        <v>33</v>
      </c>
      <c r="B41" s="119" t="s">
        <v>86</v>
      </c>
      <c r="C41" s="120">
        <v>1612</v>
      </c>
      <c r="D41" s="120">
        <v>150</v>
      </c>
      <c r="E41" s="119">
        <v>1762</v>
      </c>
      <c r="F41" s="23">
        <f t="shared" ref="F41:F52" si="1">IF(E41=0,"",E41/$E$53)</f>
        <v>1.4359174958641991E-2</v>
      </c>
    </row>
    <row r="42" spans="1:6" ht="14.25" customHeight="1" x14ac:dyDescent="0.25">
      <c r="A42" s="108">
        <v>34</v>
      </c>
      <c r="B42" s="119" t="s">
        <v>87</v>
      </c>
      <c r="C42" s="120">
        <v>8483</v>
      </c>
      <c r="D42" s="120">
        <v>1464</v>
      </c>
      <c r="E42" s="119">
        <v>9947</v>
      </c>
      <c r="F42" s="23">
        <f t="shared" si="1"/>
        <v>8.1061698815897767E-2</v>
      </c>
    </row>
    <row r="43" spans="1:6" ht="14.25" customHeight="1" x14ac:dyDescent="0.25">
      <c r="A43" s="108">
        <v>35</v>
      </c>
      <c r="B43" s="119" t="s">
        <v>88</v>
      </c>
      <c r="C43" s="120">
        <v>4662</v>
      </c>
      <c r="D43" s="120">
        <v>815</v>
      </c>
      <c r="E43" s="119">
        <v>5477</v>
      </c>
      <c r="F43" s="23">
        <f t="shared" si="1"/>
        <v>4.4634052921953563E-2</v>
      </c>
    </row>
    <row r="44" spans="1:6" ht="14.25" customHeight="1" x14ac:dyDescent="0.25">
      <c r="A44" s="108">
        <v>36</v>
      </c>
      <c r="B44" s="119" t="s">
        <v>89</v>
      </c>
      <c r="C44" s="120">
        <v>3180</v>
      </c>
      <c r="D44" s="120">
        <v>199</v>
      </c>
      <c r="E44" s="119">
        <v>3379</v>
      </c>
      <c r="F44" s="23">
        <f t="shared" si="1"/>
        <v>2.7536692500142613E-2</v>
      </c>
    </row>
    <row r="45" spans="1:6" ht="14.25" customHeight="1" x14ac:dyDescent="0.25">
      <c r="A45" s="108">
        <v>37</v>
      </c>
      <c r="B45" s="119" t="s">
        <v>90</v>
      </c>
      <c r="C45" s="120">
        <v>2831</v>
      </c>
      <c r="D45" s="120">
        <v>560</v>
      </c>
      <c r="E45" s="119">
        <v>3391</v>
      </c>
      <c r="F45" s="23">
        <f t="shared" si="1"/>
        <v>2.7634484838112934E-2</v>
      </c>
    </row>
    <row r="46" spans="1:6" ht="14.25" customHeight="1" x14ac:dyDescent="0.25">
      <c r="A46" s="108">
        <v>38</v>
      </c>
      <c r="B46" s="121" t="s">
        <v>91</v>
      </c>
      <c r="C46" s="120">
        <v>0</v>
      </c>
      <c r="D46" s="120">
        <v>14</v>
      </c>
      <c r="E46" s="119">
        <v>14</v>
      </c>
      <c r="F46" s="23">
        <f t="shared" si="1"/>
        <v>1.1409106096537336E-4</v>
      </c>
    </row>
    <row r="47" spans="1:6" ht="14.25" customHeight="1" x14ac:dyDescent="0.25">
      <c r="A47" s="108">
        <v>39</v>
      </c>
      <c r="B47" s="119" t="s">
        <v>56</v>
      </c>
      <c r="C47" s="120">
        <v>5050</v>
      </c>
      <c r="D47" s="120">
        <v>349</v>
      </c>
      <c r="E47" s="119">
        <v>5399</v>
      </c>
      <c r="F47" s="23">
        <f t="shared" si="1"/>
        <v>4.3998402725146483E-2</v>
      </c>
    </row>
    <row r="48" spans="1:6" ht="14.25" customHeight="1" x14ac:dyDescent="0.25">
      <c r="A48" s="108">
        <v>40</v>
      </c>
      <c r="B48" s="119" t="s">
        <v>92</v>
      </c>
      <c r="C48" s="120">
        <v>5239</v>
      </c>
      <c r="D48" s="120">
        <v>329</v>
      </c>
      <c r="E48" s="119">
        <v>5568</v>
      </c>
      <c r="F48" s="23">
        <f t="shared" si="1"/>
        <v>4.5375644818228492E-2</v>
      </c>
    </row>
    <row r="49" spans="1:10" ht="14.25" customHeight="1" x14ac:dyDescent="0.25">
      <c r="A49" s="108">
        <v>41</v>
      </c>
      <c r="B49" s="119" t="s">
        <v>93</v>
      </c>
      <c r="C49" s="120">
        <v>67</v>
      </c>
      <c r="D49" s="120">
        <v>231</v>
      </c>
      <c r="E49" s="119">
        <v>298</v>
      </c>
      <c r="F49" s="23">
        <f t="shared" si="1"/>
        <v>2.4285097262629475E-3</v>
      </c>
    </row>
    <row r="50" spans="1:10" ht="14.25" customHeight="1" x14ac:dyDescent="0.25">
      <c r="A50" s="108">
        <v>42</v>
      </c>
      <c r="B50" s="119" t="s">
        <v>94</v>
      </c>
      <c r="C50" s="120">
        <v>3623</v>
      </c>
      <c r="D50" s="120">
        <v>174</v>
      </c>
      <c r="E50" s="119">
        <v>3797</v>
      </c>
      <c r="F50" s="23">
        <f t="shared" si="1"/>
        <v>3.0943125606108762E-2</v>
      </c>
    </row>
    <row r="51" spans="1:10" x14ac:dyDescent="0.25">
      <c r="A51" s="108">
        <v>43</v>
      </c>
      <c r="B51" s="119" t="s">
        <v>95</v>
      </c>
      <c r="C51" s="120">
        <v>1105</v>
      </c>
      <c r="D51" s="120">
        <v>209</v>
      </c>
      <c r="E51" s="119">
        <v>1314</v>
      </c>
      <c r="F51" s="23">
        <f t="shared" si="1"/>
        <v>1.0708261007750042E-2</v>
      </c>
    </row>
    <row r="52" spans="1:10" x14ac:dyDescent="0.25">
      <c r="A52" s="108">
        <v>44</v>
      </c>
      <c r="B52" s="119" t="s">
        <v>96</v>
      </c>
      <c r="C52" s="120">
        <v>1589</v>
      </c>
      <c r="D52" s="120">
        <v>332</v>
      </c>
      <c r="E52" s="119">
        <v>1921</v>
      </c>
      <c r="F52" s="23">
        <f t="shared" si="1"/>
        <v>1.5654923436748732E-2</v>
      </c>
    </row>
    <row r="53" spans="1:10" x14ac:dyDescent="0.25">
      <c r="A53" s="108"/>
      <c r="B53" s="114" t="s">
        <v>7</v>
      </c>
      <c r="C53" s="115">
        <v>97941</v>
      </c>
      <c r="D53" s="115">
        <v>24768</v>
      </c>
      <c r="E53" s="115">
        <v>122709</v>
      </c>
      <c r="F53" s="23">
        <f t="shared" ref="F53" si="2">IF(E53=0,"",E53/$E$53)</f>
        <v>1</v>
      </c>
    </row>
    <row r="54" spans="1:10" x14ac:dyDescent="0.25">
      <c r="A54" s="109"/>
      <c r="B54" s="110"/>
      <c r="C54" s="111"/>
      <c r="D54" s="111"/>
      <c r="E54" s="112"/>
      <c r="F54" s="113"/>
    </row>
    <row r="55" spans="1:10" x14ac:dyDescent="0.25">
      <c r="A55" s="2" t="s">
        <v>18</v>
      </c>
      <c r="B55" s="18"/>
      <c r="C55" s="18"/>
      <c r="D55" s="18"/>
      <c r="E55" s="18"/>
    </row>
    <row r="56" spans="1:10" x14ac:dyDescent="0.25">
      <c r="A56" s="2" t="s">
        <v>22</v>
      </c>
      <c r="D56" s="18"/>
      <c r="E56" s="18"/>
    </row>
    <row r="57" spans="1:10" x14ac:dyDescent="0.25">
      <c r="A57" s="2" t="s">
        <v>23</v>
      </c>
      <c r="C57" s="11"/>
      <c r="D57" s="11"/>
      <c r="E57" s="11"/>
    </row>
    <row r="58" spans="1:10" x14ac:dyDescent="0.25">
      <c r="C58" s="11"/>
      <c r="D58" s="11"/>
      <c r="E58" s="11"/>
      <c r="J58" s="107"/>
    </row>
    <row r="59" spans="1:10" x14ac:dyDescent="0.25">
      <c r="B59" s="10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7" zoomScaleNormal="100" zoomScalePageLayoutView="70" workbookViewId="0">
      <selection activeCell="B20" sqref="B20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9" customFormat="1" ht="18" customHeight="1" x14ac:dyDescent="0.25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9" s="9" customFormat="1" ht="18" customHeight="1" x14ac:dyDescent="0.25">
      <c r="A2" s="116" t="s">
        <v>57</v>
      </c>
      <c r="B2" s="116"/>
      <c r="C2" s="116"/>
      <c r="D2" s="116"/>
      <c r="E2" s="116"/>
      <c r="F2" s="116"/>
      <c r="G2" s="116"/>
      <c r="H2" s="116"/>
      <c r="I2" s="28"/>
    </row>
    <row r="3" spans="1:9" s="9" customFormat="1" ht="18" customHeight="1" x14ac:dyDescent="0.25">
      <c r="A3" s="25" t="s">
        <v>49</v>
      </c>
      <c r="B3" s="26"/>
      <c r="C3" s="26"/>
      <c r="D3" s="26"/>
      <c r="E3" s="26"/>
      <c r="F3" s="26"/>
      <c r="G3" s="27"/>
      <c r="H3" s="28"/>
      <c r="I3" s="28"/>
    </row>
    <row r="4" spans="1:9" s="9" customFormat="1" ht="18" customHeight="1" x14ac:dyDescent="0.25">
      <c r="A4" s="25" t="s">
        <v>48</v>
      </c>
      <c r="B4" s="26"/>
      <c r="C4" s="26"/>
      <c r="D4" s="26"/>
      <c r="E4" s="26"/>
      <c r="F4" s="26"/>
      <c r="G4" s="27"/>
      <c r="H4" s="28"/>
      <c r="I4" s="28"/>
    </row>
    <row r="5" spans="1:9" s="9" customFormat="1" ht="18" customHeight="1" x14ac:dyDescent="0.25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9" s="9" customFormat="1" ht="18" customHeight="1" x14ac:dyDescent="0.25">
      <c r="A6" s="10" t="str">
        <f>'Summary Load Customers '!A6</f>
        <v>Data as of October 31, 2017</v>
      </c>
      <c r="B6" s="28"/>
      <c r="C6" s="28"/>
      <c r="D6" s="73"/>
      <c r="E6" s="73"/>
      <c r="F6" s="73"/>
      <c r="G6" s="28"/>
      <c r="H6" s="28"/>
      <c r="I6" s="28"/>
    </row>
    <row r="7" spans="1:9" ht="18" customHeight="1" x14ac:dyDescent="0.25">
      <c r="B7" s="30"/>
      <c r="C7" s="30"/>
      <c r="D7" s="61"/>
      <c r="E7" s="61"/>
      <c r="F7" s="62"/>
      <c r="G7" s="62"/>
      <c r="H7" s="30"/>
    </row>
    <row r="8" spans="1:9" ht="18" customHeight="1" x14ac:dyDescent="0.3">
      <c r="A8" s="63" t="s">
        <v>42</v>
      </c>
      <c r="B8" s="64"/>
      <c r="C8" s="64"/>
      <c r="D8" s="65"/>
      <c r="E8" s="65"/>
      <c r="F8" s="66"/>
      <c r="G8" s="66"/>
      <c r="H8" s="64"/>
      <c r="I8" s="67"/>
    </row>
    <row r="9" spans="1:9" ht="18" customHeight="1" x14ac:dyDescent="0.4">
      <c r="B9" s="30"/>
      <c r="C9" s="30"/>
      <c r="D9" s="61"/>
      <c r="E9" s="61"/>
      <c r="F9" s="68"/>
      <c r="G9" s="68"/>
      <c r="H9" s="30"/>
    </row>
    <row r="10" spans="1:9" ht="18" customHeight="1" x14ac:dyDescent="0.25">
      <c r="A10" s="31" t="s">
        <v>53</v>
      </c>
      <c r="B10" s="32"/>
      <c r="C10" s="32"/>
      <c r="D10" s="32"/>
      <c r="E10" s="32"/>
      <c r="F10" s="32"/>
      <c r="G10" s="53"/>
      <c r="H10" s="27"/>
      <c r="I10" s="28"/>
    </row>
    <row r="11" spans="1:9" ht="18" customHeight="1" x14ac:dyDescent="0.25">
      <c r="A11" s="42"/>
      <c r="B11" s="34" t="s">
        <v>5</v>
      </c>
      <c r="C11" s="54"/>
      <c r="D11" s="34" t="s">
        <v>26</v>
      </c>
      <c r="E11" s="55"/>
      <c r="F11" s="34" t="s">
        <v>33</v>
      </c>
      <c r="G11" s="36"/>
    </row>
    <row r="12" spans="1:9" ht="18" customHeight="1" x14ac:dyDescent="0.25">
      <c r="A12" s="39"/>
      <c r="B12" s="40" t="s">
        <v>14</v>
      </c>
      <c r="C12" s="41" t="s">
        <v>20</v>
      </c>
      <c r="D12" s="40" t="str">
        <f>B12</f>
        <v>Customers</v>
      </c>
      <c r="E12" s="41" t="s">
        <v>20</v>
      </c>
      <c r="F12" s="40" t="str">
        <f>B12</f>
        <v>Customers</v>
      </c>
      <c r="G12" s="41" t="s">
        <v>19</v>
      </c>
    </row>
    <row r="13" spans="1:9" ht="18" customHeight="1" x14ac:dyDescent="0.25">
      <c r="A13" s="42" t="s">
        <v>44</v>
      </c>
      <c r="B13" s="45">
        <f>REC_programs_detail!B23</f>
        <v>3778</v>
      </c>
      <c r="C13" s="46">
        <f>IF(B13=0,0,B13/'Summary Load Customers '!$B$22)</f>
        <v>1.2919198585658938E-2</v>
      </c>
      <c r="D13" s="45">
        <f>REC_programs_detail!C23</f>
        <v>40</v>
      </c>
      <c r="E13" s="46">
        <f>IF(D13=0,0,D13/('Summary Load Customers '!$D$22+'Summary Load Customers '!$F$22))</f>
        <v>9.022217209879328E-4</v>
      </c>
      <c r="F13" s="45">
        <f>B13+D13</f>
        <v>3818</v>
      </c>
      <c r="G13" s="46">
        <f>IF(F13=0,0,F13/'Summary Load Customers '!$H$22)</f>
        <v>1.1337181679969593E-2</v>
      </c>
    </row>
    <row r="14" spans="1:9" ht="15.75" customHeight="1" x14ac:dyDescent="0.25">
      <c r="G14" s="52"/>
      <c r="H14" s="30"/>
    </row>
    <row r="15" spans="1:9" ht="15.75" customHeight="1" x14ac:dyDescent="0.25">
      <c r="A15" s="102" t="str">
        <f>"As the above table shows, "&amp;TEXT(F13,"0,000")&amp;" of UI's customers, or "&amp;TEXT(G13,"0.0%")&amp;" are participating in the CTCleanEnergyOptions Program."</f>
        <v>As the above table shows, 3,818 of UI's customers, or 1.1% are participating in the CTCleanEnergyOptions Program.</v>
      </c>
      <c r="G15" s="52"/>
      <c r="H15" s="30"/>
    </row>
    <row r="16" spans="1:9" ht="15.75" customHeight="1" x14ac:dyDescent="0.25">
      <c r="G16" s="52"/>
      <c r="H16" s="30"/>
    </row>
    <row r="17" spans="1:9" ht="18" customHeight="1" x14ac:dyDescent="0.25">
      <c r="A17" s="31" t="s">
        <v>43</v>
      </c>
      <c r="B17" s="32"/>
      <c r="C17" s="32"/>
      <c r="D17" s="32"/>
      <c r="E17" s="32"/>
      <c r="F17" s="32"/>
      <c r="G17" s="53"/>
      <c r="H17" s="27"/>
      <c r="I17" s="28"/>
    </row>
    <row r="18" spans="1:9" ht="18" customHeight="1" x14ac:dyDescent="0.25">
      <c r="A18" s="42"/>
      <c r="B18" s="34" t="s">
        <v>5</v>
      </c>
      <c r="C18" s="54"/>
      <c r="D18" s="34" t="s">
        <v>26</v>
      </c>
      <c r="E18" s="55"/>
      <c r="F18" s="34" t="s">
        <v>33</v>
      </c>
      <c r="G18" s="36"/>
    </row>
    <row r="19" spans="1:9" ht="18" customHeight="1" x14ac:dyDescent="0.25">
      <c r="A19" s="39"/>
      <c r="B19" s="40" t="s">
        <v>14</v>
      </c>
      <c r="C19" s="41" t="s">
        <v>20</v>
      </c>
      <c r="D19" s="40" t="str">
        <f>B19</f>
        <v>Customers</v>
      </c>
      <c r="E19" s="41" t="s">
        <v>20</v>
      </c>
      <c r="F19" s="40" t="str">
        <f>B19</f>
        <v>Customers</v>
      </c>
      <c r="G19" s="41" t="s">
        <v>19</v>
      </c>
    </row>
    <row r="20" spans="1:9" ht="18" customHeight="1" x14ac:dyDescent="0.25">
      <c r="A20" s="42" t="s">
        <v>45</v>
      </c>
      <c r="B20" s="45">
        <f>REC_programs_detail!B29</f>
        <v>690</v>
      </c>
      <c r="C20" s="46">
        <f>IF(B20=0,0,B20/'Summary Load Customers '!$B$22)</f>
        <v>2.3595148290377625E-3</v>
      </c>
      <c r="D20" s="45">
        <f>REC_programs_detail!C29</f>
        <v>61</v>
      </c>
      <c r="E20" s="46">
        <f>IF(D20=0,0,D20/('Summary Load Customers '!$D$22+'Summary Load Customers '!$F$22))</f>
        <v>1.3758881245065975E-3</v>
      </c>
      <c r="F20" s="45">
        <f>B20+D20</f>
        <v>751</v>
      </c>
      <c r="G20" s="46">
        <f>IF(F20=0,0,F20/'Summary Load Customers '!$H$22)</f>
        <v>2.2300218548080577E-3</v>
      </c>
    </row>
    <row r="21" spans="1:9" ht="18" customHeight="1" x14ac:dyDescent="0.25">
      <c r="B21" s="51"/>
      <c r="C21" s="50"/>
      <c r="D21" s="51"/>
      <c r="E21" s="50"/>
      <c r="F21" s="51"/>
      <c r="G21" s="50"/>
      <c r="H21" s="51"/>
      <c r="I21" s="50"/>
    </row>
    <row r="22" spans="1:9" ht="18" customHeight="1" x14ac:dyDescent="0.25">
      <c r="A22" s="102" t="str">
        <f>"As the above table shows, "&amp;TEXT(F20,"0,000")&amp;" of UI's customers, or "&amp;TEXT(G20,"0.0%")&amp;" are participating in the REC only program."</f>
        <v>As the above table shows, 0,751 of UI's customers, or 0.2% are participating in the REC only program.</v>
      </c>
      <c r="B22" s="51"/>
      <c r="C22" s="50"/>
      <c r="D22" s="51"/>
      <c r="E22" s="50"/>
      <c r="F22" s="51"/>
      <c r="G22" s="50"/>
      <c r="H22" s="51"/>
      <c r="I22" s="50"/>
    </row>
    <row r="23" spans="1:9" ht="13.8" x14ac:dyDescent="0.25">
      <c r="A23" s="48"/>
    </row>
    <row r="24" spans="1:9" ht="13.8" x14ac:dyDescent="0.25">
      <c r="A24" s="31" t="s">
        <v>47</v>
      </c>
      <c r="B24" s="32"/>
      <c r="C24" s="32"/>
      <c r="D24" s="32"/>
      <c r="E24" s="32"/>
      <c r="F24" s="32"/>
      <c r="G24" s="53"/>
      <c r="H24" s="27"/>
      <c r="I24" s="28"/>
    </row>
    <row r="25" spans="1:9" ht="13.8" x14ac:dyDescent="0.25">
      <c r="A25" s="42"/>
      <c r="B25" s="34" t="s">
        <v>5</v>
      </c>
      <c r="C25" s="54"/>
      <c r="D25" s="34" t="s">
        <v>26</v>
      </c>
      <c r="E25" s="55"/>
      <c r="F25" s="34" t="s">
        <v>33</v>
      </c>
      <c r="G25" s="36"/>
    </row>
    <row r="26" spans="1:9" ht="13.8" x14ac:dyDescent="0.25">
      <c r="A26" s="39"/>
      <c r="B26" s="40" t="s">
        <v>14</v>
      </c>
      <c r="C26" s="41" t="s">
        <v>20</v>
      </c>
      <c r="D26" s="40" t="str">
        <f>B26</f>
        <v>Customers</v>
      </c>
      <c r="E26" s="41" t="s">
        <v>20</v>
      </c>
      <c r="F26" s="40" t="str">
        <f>B26</f>
        <v>Customers</v>
      </c>
      <c r="G26" s="41" t="s">
        <v>19</v>
      </c>
    </row>
    <row r="27" spans="1:9" ht="13.8" x14ac:dyDescent="0.25">
      <c r="A27" s="42" t="s">
        <v>46</v>
      </c>
      <c r="B27" s="45">
        <f>B13+B20</f>
        <v>4468</v>
      </c>
      <c r="C27" s="46">
        <f>IF(B27=0,0,B27/'Summary Load Customers '!$B$22)</f>
        <v>1.52787134146967E-2</v>
      </c>
      <c r="D27" s="45">
        <f>D13+D20</f>
        <v>101</v>
      </c>
      <c r="E27" s="46">
        <f>IF(D27=0,0,D27/('Summary Load Customers '!$D$22+'Summary Load Customers '!$F$22))</f>
        <v>2.2781098454945302E-3</v>
      </c>
      <c r="F27" s="45">
        <f>B27+D27</f>
        <v>4569</v>
      </c>
      <c r="G27" s="46">
        <f>IF(F27=0,0,F27/'Summary Load Customers '!$H$22)</f>
        <v>1.3567203534777651E-2</v>
      </c>
    </row>
    <row r="28" spans="1:9" ht="13.8" x14ac:dyDescent="0.25">
      <c r="G28" s="52"/>
      <c r="H28" s="30"/>
    </row>
    <row r="29" spans="1:9" ht="13.8" x14ac:dyDescent="0.25">
      <c r="A29" s="102" t="str">
        <f>"As the above table shows, "&amp;TEXT(F27,"0,000")&amp;" of UI's customers, or "&amp;TEXT(G27,"0.0%")&amp;" are participating in the combined REC programs."</f>
        <v>As the above table shows, 4,569 of UI's customers, or 1.4% are participating in the combined REC programs.</v>
      </c>
      <c r="G29" s="52"/>
      <c r="H29" s="30"/>
    </row>
    <row r="31" spans="1:9" ht="13.8" x14ac:dyDescent="0.25">
      <c r="A31" s="69" t="s">
        <v>32</v>
      </c>
    </row>
    <row r="32" spans="1:9" ht="13.8" x14ac:dyDescent="0.25">
      <c r="A32" s="69"/>
    </row>
    <row r="33" spans="1:1" ht="13.8" x14ac:dyDescent="0.25">
      <c r="A33" s="69" t="s">
        <v>54</v>
      </c>
    </row>
    <row r="34" spans="1:1" x14ac:dyDescent="0.25">
      <c r="A34" s="70" t="s">
        <v>52</v>
      </c>
    </row>
    <row r="36" spans="1:1" x14ac:dyDescent="0.25">
      <c r="A36" s="70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A5" sqref="A5:D5"/>
    </sheetView>
  </sheetViews>
  <sheetFormatPr defaultColWidth="9.109375" defaultRowHeight="10.199999999999999" x14ac:dyDescent="0.2"/>
  <cols>
    <col min="1" max="1" width="28" style="77" customWidth="1"/>
    <col min="2" max="3" width="19.109375" style="77" customWidth="1"/>
    <col min="4" max="4" width="20.33203125" style="77" customWidth="1"/>
    <col min="5" max="5" width="7.109375" style="77" customWidth="1"/>
    <col min="6" max="6" width="23.33203125" style="77" bestFit="1" customWidth="1"/>
    <col min="7" max="7" width="10.44140625" style="77" customWidth="1"/>
    <col min="8" max="16384" width="9.109375" style="77"/>
  </cols>
  <sheetData>
    <row r="1" spans="1:9" s="76" customFormat="1" ht="15" customHeight="1" x14ac:dyDescent="0.25">
      <c r="A1" s="117" t="str">
        <f>'Summary Load Customers '!A1</f>
        <v>The United Illuminating Company</v>
      </c>
      <c r="B1" s="117"/>
      <c r="C1" s="117"/>
      <c r="D1" s="117"/>
      <c r="E1" s="74"/>
      <c r="F1" s="74"/>
      <c r="G1" s="75"/>
    </row>
    <row r="2" spans="1:9" s="9" customFormat="1" ht="18" customHeight="1" x14ac:dyDescent="0.25">
      <c r="A2" s="118" t="s">
        <v>57</v>
      </c>
      <c r="B2" s="118"/>
      <c r="C2" s="118"/>
      <c r="D2" s="118"/>
      <c r="E2" s="26"/>
      <c r="F2" s="26"/>
      <c r="G2" s="27"/>
      <c r="H2" s="28"/>
      <c r="I2" s="28"/>
    </row>
    <row r="3" spans="1:9" s="76" customFormat="1" ht="15" customHeight="1" x14ac:dyDescent="0.25">
      <c r="A3" s="117" t="s">
        <v>35</v>
      </c>
      <c r="B3" s="117"/>
      <c r="C3" s="117"/>
      <c r="D3" s="117"/>
      <c r="E3" s="74"/>
      <c r="F3" s="74"/>
      <c r="G3" s="75"/>
    </row>
    <row r="4" spans="1:9" s="76" customFormat="1" ht="15" customHeight="1" x14ac:dyDescent="0.25">
      <c r="A4" s="117" t="s">
        <v>2</v>
      </c>
      <c r="B4" s="117"/>
      <c r="C4" s="117"/>
      <c r="D4" s="117"/>
      <c r="E4" s="74"/>
      <c r="F4" s="74"/>
      <c r="G4" s="75"/>
    </row>
    <row r="5" spans="1:9" s="76" customFormat="1" ht="15" customHeight="1" x14ac:dyDescent="0.25">
      <c r="A5" s="117" t="str">
        <f>'Summary Load Customers '!A6</f>
        <v>Data as of October 31, 2017</v>
      </c>
      <c r="B5" s="117"/>
      <c r="C5" s="117"/>
      <c r="D5" s="117"/>
      <c r="E5" s="74"/>
      <c r="F5" s="74"/>
      <c r="G5" s="75"/>
    </row>
    <row r="6" spans="1:9" x14ac:dyDescent="0.2">
      <c r="C6" s="78"/>
      <c r="D6" s="78"/>
      <c r="E6" s="78"/>
      <c r="F6" s="78"/>
      <c r="G6" s="78"/>
    </row>
    <row r="7" spans="1:9" s="84" customFormat="1" ht="20.399999999999999" x14ac:dyDescent="0.2">
      <c r="A7" s="79" t="s">
        <v>37</v>
      </c>
      <c r="B7" s="80" t="s">
        <v>5</v>
      </c>
      <c r="C7" s="79" t="s">
        <v>6</v>
      </c>
      <c r="D7" s="79" t="s">
        <v>33</v>
      </c>
      <c r="E7" s="81"/>
      <c r="F7" s="81"/>
      <c r="G7" s="82"/>
      <c r="H7" s="83"/>
    </row>
    <row r="8" spans="1:9" x14ac:dyDescent="0.2">
      <c r="A8" s="85" t="s">
        <v>36</v>
      </c>
      <c r="B8" s="86"/>
      <c r="C8" s="87"/>
      <c r="D8" s="88">
        <f>IF(C8=0,0,C8)</f>
        <v>0</v>
      </c>
      <c r="E8" s="78"/>
      <c r="F8" s="78"/>
      <c r="G8" s="89"/>
      <c r="H8" s="78"/>
    </row>
    <row r="9" spans="1:9" x14ac:dyDescent="0.2">
      <c r="A9" s="85" t="s">
        <v>15</v>
      </c>
      <c r="B9" s="87">
        <v>137</v>
      </c>
      <c r="C9" s="87">
        <v>2</v>
      </c>
      <c r="D9" s="88">
        <f>SUM(B9:C9)</f>
        <v>139</v>
      </c>
      <c r="E9" s="90"/>
      <c r="F9" s="90"/>
      <c r="G9" s="89"/>
      <c r="H9" s="78"/>
    </row>
    <row r="10" spans="1:9" x14ac:dyDescent="0.2">
      <c r="A10" s="85" t="s">
        <v>16</v>
      </c>
      <c r="B10" s="87">
        <v>3100</v>
      </c>
      <c r="C10" s="87">
        <v>36</v>
      </c>
      <c r="D10" s="88">
        <f>SUM(B10:C10)</f>
        <v>3136</v>
      </c>
      <c r="E10" s="91"/>
      <c r="F10" s="92"/>
      <c r="G10" s="89"/>
      <c r="H10" s="78"/>
    </row>
    <row r="11" spans="1:9" x14ac:dyDescent="0.2">
      <c r="A11" s="93" t="s">
        <v>7</v>
      </c>
      <c r="B11" s="94">
        <f>IF(B9+B10=0,0,B9+B10)</f>
        <v>3237</v>
      </c>
      <c r="C11" s="94">
        <f>IF(SUM(C8:C10)=0,0,SUM(C8:C10))</f>
        <v>38</v>
      </c>
      <c r="D11" s="94">
        <f>IF(SUM(D8:D10)=0,0,SUM(D8:D10))</f>
        <v>3275</v>
      </c>
      <c r="E11" s="91"/>
      <c r="F11" s="92"/>
      <c r="G11" s="89"/>
      <c r="H11" s="78"/>
    </row>
    <row r="12" spans="1:9" x14ac:dyDescent="0.2">
      <c r="A12" s="78"/>
      <c r="B12" s="95"/>
      <c r="C12" s="95"/>
      <c r="D12" s="95"/>
      <c r="E12" s="91"/>
      <c r="F12" s="92"/>
      <c r="G12" s="96"/>
      <c r="H12" s="78"/>
    </row>
    <row r="13" spans="1:9" ht="20.399999999999999" x14ac:dyDescent="0.2">
      <c r="A13" s="79" t="s">
        <v>40</v>
      </c>
      <c r="B13" s="79" t="s">
        <v>5</v>
      </c>
      <c r="C13" s="79" t="str">
        <f>C7</f>
        <v>Business</v>
      </c>
      <c r="D13" s="79" t="s">
        <v>33</v>
      </c>
      <c r="E13" s="97"/>
      <c r="F13" s="98"/>
      <c r="G13" s="96"/>
      <c r="H13" s="78"/>
    </row>
    <row r="14" spans="1:9" x14ac:dyDescent="0.2">
      <c r="A14" s="85" t="s">
        <v>36</v>
      </c>
      <c r="B14" s="86"/>
      <c r="C14" s="87"/>
      <c r="D14" s="88">
        <f>IF(C14=0,0,C14)</f>
        <v>0</v>
      </c>
      <c r="E14" s="78"/>
      <c r="F14" s="78"/>
      <c r="G14" s="96"/>
      <c r="H14" s="78"/>
    </row>
    <row r="15" spans="1:9" x14ac:dyDescent="0.2">
      <c r="A15" s="85" t="s">
        <v>15</v>
      </c>
      <c r="B15" s="87">
        <v>3</v>
      </c>
      <c r="C15" s="87">
        <v>0</v>
      </c>
      <c r="D15" s="88">
        <f>SUM(B15:C15)</f>
        <v>3</v>
      </c>
      <c r="E15" s="90"/>
      <c r="F15" s="90"/>
      <c r="G15" s="89"/>
      <c r="H15" s="78"/>
    </row>
    <row r="16" spans="1:9" x14ac:dyDescent="0.2">
      <c r="A16" s="85" t="s">
        <v>16</v>
      </c>
      <c r="B16" s="87">
        <v>538</v>
      </c>
      <c r="C16" s="87">
        <v>2</v>
      </c>
      <c r="D16" s="88">
        <f>SUM(B16:C16)</f>
        <v>540</v>
      </c>
      <c r="E16" s="91"/>
      <c r="F16" s="92"/>
      <c r="G16" s="89"/>
      <c r="H16" s="78"/>
    </row>
    <row r="17" spans="1:8" x14ac:dyDescent="0.2">
      <c r="A17" s="93" t="str">
        <f>A11</f>
        <v>Total</v>
      </c>
      <c r="B17" s="94">
        <f>IF(B15+B16=0,0,B15+B16)</f>
        <v>541</v>
      </c>
      <c r="C17" s="94">
        <f>IF(SUM(C14:C16)=0,0,SUM(C14:C16))</f>
        <v>2</v>
      </c>
      <c r="D17" s="94">
        <f>IF(SUM(D14:D16)=0,0,SUM(D14:D16))</f>
        <v>543</v>
      </c>
      <c r="E17" s="91"/>
      <c r="F17" s="92"/>
      <c r="G17" s="89"/>
      <c r="H17" s="78"/>
    </row>
    <row r="18" spans="1:8" x14ac:dyDescent="0.2">
      <c r="A18" s="78"/>
      <c r="B18" s="78"/>
      <c r="C18" s="78"/>
      <c r="D18" s="78"/>
      <c r="E18" s="91"/>
      <c r="F18" s="92"/>
      <c r="G18" s="96"/>
      <c r="H18" s="78"/>
    </row>
    <row r="19" spans="1:8" ht="20.399999999999999" x14ac:dyDescent="0.2">
      <c r="A19" s="79" t="s">
        <v>41</v>
      </c>
      <c r="B19" s="79" t="s">
        <v>5</v>
      </c>
      <c r="C19" s="79" t="str">
        <f>C7</f>
        <v>Business</v>
      </c>
      <c r="D19" s="79" t="s">
        <v>33</v>
      </c>
      <c r="E19" s="97"/>
      <c r="F19" s="98"/>
      <c r="G19" s="96"/>
      <c r="H19" s="78"/>
    </row>
    <row r="20" spans="1:8" x14ac:dyDescent="0.2">
      <c r="A20" s="85" t="s">
        <v>36</v>
      </c>
      <c r="B20" s="86"/>
      <c r="C20" s="99">
        <f t="shared" ref="C20:D21" si="0">IF(C8+C14=0,0,C8+C14)</f>
        <v>0</v>
      </c>
      <c r="D20" s="88"/>
      <c r="E20" s="96"/>
      <c r="F20" s="96"/>
      <c r="G20" s="96"/>
      <c r="H20" s="78"/>
    </row>
    <row r="21" spans="1:8" x14ac:dyDescent="0.2">
      <c r="A21" s="85" t="s">
        <v>15</v>
      </c>
      <c r="B21" s="99">
        <f>IF(B9+B15=0,0,B9+B15)</f>
        <v>140</v>
      </c>
      <c r="C21" s="99">
        <f>IF(C9+C15=0,0,C9+C15)</f>
        <v>2</v>
      </c>
      <c r="D21" s="88">
        <f t="shared" si="0"/>
        <v>142</v>
      </c>
      <c r="E21" s="89"/>
      <c r="F21" s="96"/>
      <c r="G21" s="96"/>
      <c r="H21" s="78"/>
    </row>
    <row r="22" spans="1:8" x14ac:dyDescent="0.2">
      <c r="A22" s="85" t="s">
        <v>16</v>
      </c>
      <c r="B22" s="99">
        <f>IF(B10+B16=0,0,B10+B16)</f>
        <v>3638</v>
      </c>
      <c r="C22" s="99">
        <f>IF(C10+C16=0,0,C10+C16)</f>
        <v>38</v>
      </c>
      <c r="D22" s="88">
        <f>IF(D10+D16=0,0,D10+D16)</f>
        <v>3676</v>
      </c>
      <c r="E22" s="78"/>
      <c r="F22" s="96"/>
      <c r="G22" s="96"/>
      <c r="H22" s="78"/>
    </row>
    <row r="23" spans="1:8" x14ac:dyDescent="0.2">
      <c r="A23" s="93" t="str">
        <f>A11</f>
        <v>Total</v>
      </c>
      <c r="B23" s="94">
        <f>IF(B21+B22=0,0,B21+B22)</f>
        <v>3778</v>
      </c>
      <c r="C23" s="94">
        <f>IF(SUM(C20:C22)=0,0,SUM(C20:C22))</f>
        <v>40</v>
      </c>
      <c r="D23" s="94">
        <f>SUM(D20:D22)</f>
        <v>3818</v>
      </c>
      <c r="E23" s="78"/>
      <c r="F23" s="96"/>
      <c r="G23" s="96"/>
      <c r="H23" s="78"/>
    </row>
    <row r="24" spans="1:8" x14ac:dyDescent="0.2">
      <c r="B24" s="78"/>
      <c r="C24" s="78"/>
      <c r="E24" s="78"/>
      <c r="F24" s="96"/>
      <c r="G24" s="96"/>
      <c r="H24" s="78"/>
    </row>
    <row r="25" spans="1:8" ht="20.399999999999999" x14ac:dyDescent="0.2">
      <c r="A25" s="79" t="s">
        <v>38</v>
      </c>
      <c r="B25" s="79" t="s">
        <v>5</v>
      </c>
      <c r="C25" s="79" t="s">
        <v>6</v>
      </c>
      <c r="D25" s="79" t="s">
        <v>33</v>
      </c>
    </row>
    <row r="26" spans="1:8" x14ac:dyDescent="0.2">
      <c r="A26" s="85" t="s">
        <v>36</v>
      </c>
      <c r="B26" s="86"/>
      <c r="C26" s="99">
        <f>IF(C14+C20=0,0,C14+C20)</f>
        <v>0</v>
      </c>
      <c r="D26" s="88">
        <f>IF(C26=0,0,C26)</f>
        <v>0</v>
      </c>
    </row>
    <row r="27" spans="1:8" x14ac:dyDescent="0.2">
      <c r="A27" s="85" t="s">
        <v>15</v>
      </c>
      <c r="B27" s="87">
        <v>199</v>
      </c>
      <c r="C27" s="87">
        <v>11</v>
      </c>
      <c r="D27" s="88">
        <f>SUM(B27:C27)</f>
        <v>210</v>
      </c>
    </row>
    <row r="28" spans="1:8" x14ac:dyDescent="0.2">
      <c r="A28" s="85" t="s">
        <v>16</v>
      </c>
      <c r="B28" s="87">
        <v>491</v>
      </c>
      <c r="C28" s="87">
        <v>50</v>
      </c>
      <c r="D28" s="88">
        <f>SUM(B28:C28)</f>
        <v>541</v>
      </c>
    </row>
    <row r="29" spans="1:8" x14ac:dyDescent="0.2">
      <c r="A29" s="93" t="str">
        <f>A23</f>
        <v>Total</v>
      </c>
      <c r="B29" s="94">
        <f>IF(B27+B28=0,0,B27+B28)</f>
        <v>690</v>
      </c>
      <c r="C29" s="94">
        <f>IF(SUM(C26:C28)=0,0,SUM(C26:C28))</f>
        <v>61</v>
      </c>
      <c r="D29" s="94">
        <f>IF(SUM(D26:D28)=0,0,SUM(D26:D28))</f>
        <v>751</v>
      </c>
    </row>
    <row r="31" spans="1:8" x14ac:dyDescent="0.2">
      <c r="A31" s="79" t="s">
        <v>39</v>
      </c>
      <c r="B31" s="79" t="s">
        <v>5</v>
      </c>
      <c r="C31" s="79" t="str">
        <f>C19</f>
        <v>Business</v>
      </c>
      <c r="D31" s="79" t="s">
        <v>33</v>
      </c>
    </row>
    <row r="32" spans="1:8" x14ac:dyDescent="0.2">
      <c r="A32" s="85" t="s">
        <v>36</v>
      </c>
      <c r="B32" s="86">
        <f>B20+B26</f>
        <v>0</v>
      </c>
      <c r="C32" s="99">
        <f t="shared" ref="C32:D34" si="1">C20+C26</f>
        <v>0</v>
      </c>
      <c r="D32" s="88">
        <f t="shared" si="1"/>
        <v>0</v>
      </c>
    </row>
    <row r="33" spans="1:7" x14ac:dyDescent="0.2">
      <c r="A33" s="85" t="s">
        <v>15</v>
      </c>
      <c r="B33" s="99">
        <f>B21+B27</f>
        <v>339</v>
      </c>
      <c r="C33" s="99">
        <f t="shared" si="1"/>
        <v>13</v>
      </c>
      <c r="D33" s="88">
        <f t="shared" si="1"/>
        <v>352</v>
      </c>
      <c r="E33" s="78"/>
      <c r="F33" s="78"/>
      <c r="G33" s="78"/>
    </row>
    <row r="34" spans="1:7" x14ac:dyDescent="0.2">
      <c r="A34" s="85" t="s">
        <v>16</v>
      </c>
      <c r="B34" s="99">
        <f>B22+B28</f>
        <v>4129</v>
      </c>
      <c r="C34" s="99">
        <f t="shared" si="1"/>
        <v>88</v>
      </c>
      <c r="D34" s="88">
        <f t="shared" si="1"/>
        <v>4217</v>
      </c>
    </row>
    <row r="35" spans="1:7" x14ac:dyDescent="0.2">
      <c r="A35" s="93" t="str">
        <f>A29</f>
        <v>Total</v>
      </c>
      <c r="B35" s="94">
        <f>IF(B33+B34=0,0,B33+B34)</f>
        <v>4468</v>
      </c>
      <c r="C35" s="94">
        <f>IF(SUM(C32:C34)=0,0,SUM(C32:C34))</f>
        <v>101</v>
      </c>
      <c r="D35" s="94">
        <f>SUM(D32:D34)</f>
        <v>4569</v>
      </c>
    </row>
    <row r="37" spans="1:7" x14ac:dyDescent="0.2">
      <c r="A37" s="100" t="str">
        <f>"In summary, "&amp;TEXT($D$23,"0,000")&amp; " of UI's customers are participating in the CTCleanEnergyOptions Program"</f>
        <v>In summary, 3,818 of UI's customers are participating in the CTCleanEnergyOptions Program</v>
      </c>
    </row>
    <row r="38" spans="1:7" x14ac:dyDescent="0.2">
      <c r="A38" s="100" t="str">
        <f>"In summary, "&amp;TEXT($D$29,"000")&amp; " of UI's customers are participating in RECs only with Sterling Planet"</f>
        <v>In summary, 751 of UI's customers are participating in RECs only with Sterling Planet</v>
      </c>
    </row>
    <row r="39" spans="1:7" x14ac:dyDescent="0.2">
      <c r="A39" s="100" t="str">
        <f>"In summary, "&amp;TEXT($D$35,"0,000")&amp; " of UI's customers are participating in all REC programs"</f>
        <v>In summary, 4,569 of UI's customers are participating in all REC programs</v>
      </c>
    </row>
    <row r="41" spans="1:7" x14ac:dyDescent="0.2">
      <c r="A41" s="101" t="s">
        <v>21</v>
      </c>
    </row>
    <row r="42" spans="1:7" x14ac:dyDescent="0.2">
      <c r="A42" s="78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2017-02-17T16:26:50Z</cp:lastPrinted>
  <dcterms:created xsi:type="dcterms:W3CDTF">2009-03-17T13:14:28Z</dcterms:created>
  <dcterms:modified xsi:type="dcterms:W3CDTF">2017-11-09T19:06:43Z</dcterms:modified>
</cp:coreProperties>
</file>