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8" yWindow="2268" windowWidth="20196" windowHeight="447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0" i="6" l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9" i="6"/>
  <c r="F54" i="6" s="1"/>
  <c r="C54" i="6"/>
  <c r="D54" i="6"/>
  <c r="E54" i="6"/>
  <c r="F21" i="7"/>
  <c r="F20" i="7"/>
  <c r="D21" i="7"/>
  <c r="D20" i="7"/>
  <c r="B21" i="7"/>
  <c r="B20" i="7"/>
  <c r="F12" i="7"/>
  <c r="F11" i="7"/>
  <c r="D12" i="7"/>
  <c r="D11" i="7"/>
  <c r="B12" i="7"/>
  <c r="B11" i="7"/>
  <c r="B32" i="5" l="1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F13" i="7" l="1"/>
  <c r="G12" i="7" s="1"/>
  <c r="D13" i="7"/>
  <c r="E12" i="7" s="1"/>
  <c r="H11" i="7"/>
  <c r="G11" i="7" l="1"/>
  <c r="E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<sst xmlns="http://schemas.openxmlformats.org/spreadsheetml/2006/main" count="167" uniqueCount="100">
  <si>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</si>
  <si>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</si>
  <si>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</si>
  <si>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</si>
  <si>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</si>
  <si>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</si>
  <si>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</si>
  <si>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</si>
  <si>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</si>
  <si>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</si>
  <si>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</si>
  <si>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</si>
  <si>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</si>
  <si>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</si>
  <si>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</si>
  <si>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</si>
  <si>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</si>
  <si>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</si>
  <si>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</si>
  <si>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</si>
  <si>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</si>
  <si>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</si>
  <si>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</si>
  <si>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</si>
  <si>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</si>
  <si>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</si>
  <si>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</si>
  <si>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</si>
  <si>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</si>
  <si>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</si>
  <si>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</si>
  <si>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</si>
  <si>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</si>
  <si>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</si>
  <si>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</si>
  <si>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</si>
  <si>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</si>
  <si>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</si>
  <si>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</si>
  <si>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</si>
  <si>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</si>
  <si>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</si>
  <si>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</si>
  <si>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</si>
  <si>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</si>
  <si>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</si>
  <si>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</si>
  <si>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</si>
  <si>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</si>
  <si>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</si>
  <si>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</si>
  <si>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</si>
  <si>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</si>
  <si>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</si>
  <si>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</si>
  <si>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</si>
  <si>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</si>
  <si>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</si>
  <si>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</si>
  <si>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America Wide Energy, LLC</t>
  </si>
  <si>
    <t>Aequitas Energy</t>
  </si>
  <si>
    <t>Champion Energy Marketing LLC</t>
  </si>
  <si>
    <t>Choice Energy</t>
  </si>
  <si>
    <t>Clearview Electric, Inc.</t>
  </si>
  <si>
    <t>Consolidated Edison Solutions</t>
  </si>
  <si>
    <t>Constellation New Energy, Inc.</t>
  </si>
  <si>
    <t>CT Gas &amp; Electric</t>
  </si>
  <si>
    <t>Direct Energy Business</t>
  </si>
  <si>
    <t>Direct Energy Service</t>
  </si>
  <si>
    <t>Discount Power</t>
  </si>
  <si>
    <t>Energy Plus</t>
  </si>
  <si>
    <t>Engie Energy Resources Inc. (F/K/A Suez Energy Resources NA)</t>
  </si>
  <si>
    <t>Hiko Energy</t>
  </si>
  <si>
    <t>Major Energy Electric Services LLC</t>
  </si>
  <si>
    <t>Mega Energy</t>
  </si>
  <si>
    <t>Mint Energy</t>
  </si>
  <si>
    <t>North American Power</t>
  </si>
  <si>
    <t>Perigee Energy</t>
  </si>
  <si>
    <t>Public Power &amp; Utility, Inc.</t>
  </si>
  <si>
    <t>Spark Energy</t>
  </si>
  <si>
    <t>Starion Energy</t>
  </si>
  <si>
    <t>Sunwave Gas &amp; Power CT</t>
  </si>
  <si>
    <t>Texas Retail</t>
  </si>
  <si>
    <t>TransCanada</t>
  </si>
  <si>
    <t>Verde Energy</t>
  </si>
  <si>
    <t>Viridian Energy</t>
  </si>
  <si>
    <t>Xoom Energy</t>
  </si>
  <si>
    <t>Data as of December 31, 2017</t>
  </si>
  <si>
    <t>BP Energy Company</t>
  </si>
  <si>
    <t>Calpine Energy Solutions, LLC  ((F/K/A Noble)</t>
  </si>
  <si>
    <t>Constellation (F/K/A MX Energy)</t>
  </si>
  <si>
    <t>Eligo Energy</t>
  </si>
  <si>
    <t>Everyday Energy, LLC</t>
  </si>
  <si>
    <t>Exelon Generation Company LLC</t>
  </si>
  <si>
    <t>Integrys Energy Services, Inc.</t>
  </si>
  <si>
    <t>National Gas &amp; Electic</t>
  </si>
  <si>
    <t>Nextera (F/K/A Gexa Energy Connecticut, LLC)</t>
  </si>
  <si>
    <t>Reliant Energy</t>
  </si>
  <si>
    <t>Town Square Energy (F/K/A Community Power)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</si>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</sst>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2" xfId="3" applyNumberFormat="1" applyFont="1" applyFill="1" applyBorder="1" applyAlignment="1" applyProtection="1">
      <protection locked="0"/>
    </xf>
    <xf numFmtId="0" fontId="1" fillId="0" borderId="0" xfId="3" applyFont="1" applyFill="1" applyProtection="1"/>
    <xf numFmtId="3" fontId="1" fillId="0" borderId="11" xfId="3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12_December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12_December_2017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125798.11999999991</v>
          </cell>
        </row>
        <row r="25">
          <cell r="H25">
            <v>159914.04599999977</v>
          </cell>
        </row>
        <row r="26">
          <cell r="H26">
            <v>53363.726000000002</v>
          </cell>
        </row>
        <row r="29">
          <cell r="H29">
            <v>76569.929999999993</v>
          </cell>
        </row>
        <row r="30">
          <cell r="H30">
            <v>38419.834999999977</v>
          </cell>
        </row>
        <row r="31">
          <cell r="H31">
            <v>7901.3069999999989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uppliers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98721</v>
          </cell>
        </row>
        <row r="19">
          <cell r="B19">
            <v>21545</v>
          </cell>
        </row>
        <row r="20">
          <cell r="B20">
            <v>208</v>
          </cell>
        </row>
        <row r="22">
          <cell r="B22">
            <v>203198</v>
          </cell>
        </row>
        <row r="23">
          <cell r="B23">
            <v>17462</v>
          </cell>
        </row>
        <row r="24">
          <cell r="B24">
            <v>23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21" sqref="F21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5">
      <c r="A2" s="25" t="s">
        <v>57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5">
      <c r="A3" s="25" t="s">
        <v>34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5">
      <c r="A4" s="25" t="s">
        <v>27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5">
      <c r="A6" s="24" t="s">
        <v>87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5">
      <c r="A8" s="31" t="s">
        <v>30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5">
      <c r="A9" s="3"/>
      <c r="B9" s="34" t="s">
        <v>31</v>
      </c>
      <c r="C9" s="35"/>
      <c r="D9" s="34" t="s">
        <v>8</v>
      </c>
      <c r="E9" s="36"/>
      <c r="F9" s="34" t="s">
        <v>9</v>
      </c>
      <c r="G9" s="37"/>
      <c r="H9" s="34" t="s">
        <v>33</v>
      </c>
      <c r="I9" s="36"/>
    </row>
    <row r="10" spans="1:15" ht="18" customHeight="1" x14ac:dyDescent="0.25">
      <c r="A10" s="39"/>
      <c r="B10" s="40" t="s">
        <v>10</v>
      </c>
      <c r="C10" s="41" t="s">
        <v>20</v>
      </c>
      <c r="D10" s="40" t="str">
        <f>B10</f>
        <v>MWh</v>
      </c>
      <c r="E10" s="41" t="s">
        <v>20</v>
      </c>
      <c r="F10" s="40" t="str">
        <f>D10</f>
        <v>MWh</v>
      </c>
      <c r="G10" s="41" t="s">
        <v>20</v>
      </c>
      <c r="H10" s="40" t="str">
        <f>F10</f>
        <v>MWh</v>
      </c>
      <c r="I10" s="41" t="s">
        <v>19</v>
      </c>
    </row>
    <row r="11" spans="1:15" ht="18" customHeight="1" x14ac:dyDescent="0.25">
      <c r="A11" s="42" t="s">
        <v>11</v>
      </c>
      <c r="B11" s="71">
        <f>[1]Check!$H$24</f>
        <v>125798.11999999991</v>
      </c>
      <c r="C11" s="43">
        <f>IF(B11=0,0,B11/$B$13)</f>
        <v>0.62163034135082074</v>
      </c>
      <c r="D11" s="71">
        <f>[1]Check!$H$25</f>
        <v>159914.04599999977</v>
      </c>
      <c r="E11" s="43">
        <f>IF(D11=0,0,D11/$D$13)</f>
        <v>0.80628708112659764</v>
      </c>
      <c r="F11" s="71">
        <f>[1]Check!$H$26</f>
        <v>53363.726000000002</v>
      </c>
      <c r="G11" s="43">
        <f>IF(F11=0,0,F11/$F$13)</f>
        <v>0.87103072318593222</v>
      </c>
      <c r="H11" s="44">
        <f>IF(B11+D11+F11=0,0,B11+D11+F11)</f>
        <v>339075.8919999997</v>
      </c>
      <c r="I11" s="43">
        <f>IF(H11=0,0,H11/$H$13)</f>
        <v>0.73398298671417539</v>
      </c>
    </row>
    <row r="12" spans="1:15" ht="18" customHeight="1" x14ac:dyDescent="0.25">
      <c r="A12" s="42" t="s">
        <v>12</v>
      </c>
      <c r="B12" s="72">
        <f>[1]Check!$H$29</f>
        <v>76569.929999999993</v>
      </c>
      <c r="C12" s="43">
        <f>IF(B12=0,0,B12/$B$13)</f>
        <v>0.37836965864917921</v>
      </c>
      <c r="D12" s="72">
        <f>[1]Check!$H$30</f>
        <v>38419.834999999977</v>
      </c>
      <c r="E12" s="43">
        <f>IF(D12=0,0,D12/$D$13)</f>
        <v>0.19371291887340228</v>
      </c>
      <c r="F12" s="72">
        <f>[1]Check!$H$31</f>
        <v>7901.3069999999989</v>
      </c>
      <c r="G12" s="43">
        <f>IF(F12=0,0,F12/$F$13)</f>
        <v>0.12896927681406781</v>
      </c>
      <c r="H12" s="105">
        <f>IF(B12+D12+F12=0,0,B12+D12+F12)</f>
        <v>122891.07199999997</v>
      </c>
      <c r="I12" s="43">
        <f>IF(H12=0,0,H12/$H$13)</f>
        <v>0.26601701328582461</v>
      </c>
    </row>
    <row r="13" spans="1:15" ht="18" customHeight="1" x14ac:dyDescent="0.25">
      <c r="A13" s="110" t="s">
        <v>7</v>
      </c>
      <c r="B13" s="45">
        <f>SUM(B11:B12)</f>
        <v>202368.0499999999</v>
      </c>
      <c r="C13" s="46"/>
      <c r="D13" s="45">
        <f>SUM(D11:D12)</f>
        <v>198333.88099999976</v>
      </c>
      <c r="E13" s="46"/>
      <c r="F13" s="45">
        <f>SUM(F11:F12)</f>
        <v>61265.033000000003</v>
      </c>
      <c r="G13" s="46"/>
      <c r="H13" s="45">
        <f>IF(H11+H12=0,0,H11+H12)</f>
        <v>461966.96399999969</v>
      </c>
      <c r="I13" s="47"/>
    </row>
    <row r="14" spans="1:15" ht="18" customHeight="1" x14ac:dyDescent="0.25">
      <c r="A14" s="102" t="str">
        <f>"As the above table shows, "&amp;TEXT(H11,"0,000")&amp; " MWh, or "&amp;TEXT(I11,"0.0%")&amp;" of UI's total load is served by electric suppliers"</f>
        <v>As the above table shows, 339,076 MWh, or 73.4%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122,891 MHh, or 26.6%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3.8" x14ac:dyDescent="0.25">
      <c r="G16" s="52"/>
      <c r="H16" s="30"/>
    </row>
    <row r="17" spans="1:17" ht="18" customHeight="1" x14ac:dyDescent="0.25">
      <c r="A17" s="31" t="s">
        <v>29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31</v>
      </c>
      <c r="C18" s="54"/>
      <c r="D18" s="34" t="s">
        <v>8</v>
      </c>
      <c r="E18" s="55"/>
      <c r="F18" s="34" t="s">
        <v>9</v>
      </c>
      <c r="G18" s="37"/>
      <c r="H18" s="34" t="s">
        <v>33</v>
      </c>
      <c r="I18" s="36"/>
      <c r="O18" s="103"/>
    </row>
    <row r="19" spans="1:17" ht="18" customHeight="1" x14ac:dyDescent="0.25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D19</f>
        <v>Customers</v>
      </c>
      <c r="G19" s="41" t="s">
        <v>20</v>
      </c>
      <c r="H19" s="40" t="str">
        <f>F19</f>
        <v>Customers</v>
      </c>
      <c r="I19" s="41" t="s">
        <v>19</v>
      </c>
    </row>
    <row r="20" spans="1:17" ht="18" customHeight="1" x14ac:dyDescent="0.25">
      <c r="A20" s="42" t="str">
        <f>A11</f>
        <v>Suppliers</v>
      </c>
      <c r="B20" s="71">
        <f>[2]Summary!$B$18</f>
        <v>98721</v>
      </c>
      <c r="C20" s="43">
        <f>IF(B20=0,0,B20/$B$22)</f>
        <v>0.32697842798896393</v>
      </c>
      <c r="D20" s="71">
        <f>[2]Summary!$B$19</f>
        <v>21545</v>
      </c>
      <c r="E20" s="56">
        <f>IF(D20=0,0,D20/$D$22)</f>
        <v>0.55233676006870558</v>
      </c>
      <c r="F20" s="71">
        <f>[2]Summary!$B$20</f>
        <v>208</v>
      </c>
      <c r="G20" s="43">
        <f>IF(F20=0,0,F20/$F$22)</f>
        <v>0.90043290043290047</v>
      </c>
      <c r="H20" s="44">
        <f>IF(B20+D20+F20=0,0,B20+D20+F20)</f>
        <v>120474</v>
      </c>
      <c r="I20" s="43">
        <f>IF(H20=0,0,H20/$H$22)</f>
        <v>0.35313360124517451</v>
      </c>
      <c r="J20" s="57"/>
      <c r="M20" s="104"/>
    </row>
    <row r="21" spans="1:17" ht="18" customHeight="1" x14ac:dyDescent="0.25">
      <c r="A21" s="42" t="str">
        <f>A12</f>
        <v>UI</v>
      </c>
      <c r="B21" s="72">
        <f>[2]Summary!$B$22</f>
        <v>203198</v>
      </c>
      <c r="C21" s="43">
        <f>IF(B21=0,0,B21/$B$22)</f>
        <v>0.67302157201103607</v>
      </c>
      <c r="D21" s="72">
        <f>[2]Summary!$B$23</f>
        <v>17462</v>
      </c>
      <c r="E21" s="56">
        <f>IF(D21=0,0,D21/$D$22)</f>
        <v>0.44766323993129437</v>
      </c>
      <c r="F21" s="72">
        <f>[2]Summary!$B$24</f>
        <v>23</v>
      </c>
      <c r="G21" s="43">
        <f>IF(F21=0,0,F21/$F$22)</f>
        <v>9.9567099567099568E-2</v>
      </c>
      <c r="H21" s="72">
        <f>IF(B21+D21+F21=0,0,B21+D21+F21)</f>
        <v>220683</v>
      </c>
      <c r="I21" s="43">
        <f>IF(H21=0,0,H21/$H$22)</f>
        <v>0.64686639875482554</v>
      </c>
    </row>
    <row r="22" spans="1:17" ht="18" customHeight="1" x14ac:dyDescent="0.25">
      <c r="A22" s="42" t="str">
        <f>A13</f>
        <v>Total</v>
      </c>
      <c r="B22" s="45">
        <f>SUM(B20:B21)</f>
        <v>301919</v>
      </c>
      <c r="C22" s="58"/>
      <c r="D22" s="45">
        <f>SUM(D20:D21)</f>
        <v>39007</v>
      </c>
      <c r="E22" s="46"/>
      <c r="F22" s="45">
        <f>SUM(F20:F21)</f>
        <v>231</v>
      </c>
      <c r="G22" s="46"/>
      <c r="H22" s="45">
        <f>IF(H20+H21=0,0,H20+H21)</f>
        <v>341157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120,474 of UI's total customers, or 35.3%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220,683 or 64.7%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8" x14ac:dyDescent="0.25">
      <c r="A28" s="69" t="s">
        <v>28</v>
      </c>
      <c r="I28" s="104"/>
    </row>
    <row r="29" spans="1:17" ht="13.8" x14ac:dyDescent="0.25">
      <c r="A29" s="69" t="s">
        <v>32</v>
      </c>
    </row>
    <row r="30" spans="1:17" ht="13.8" x14ac:dyDescent="0.25">
      <c r="A30" s="69" t="s">
        <v>50</v>
      </c>
    </row>
    <row r="31" spans="1:17" x14ac:dyDescent="0.25">
      <c r="A31" s="70" t="s">
        <v>18</v>
      </c>
    </row>
    <row r="32" spans="1:17" x14ac:dyDescent="0.25">
      <c r="A32" s="70" t="s">
        <v>24</v>
      </c>
    </row>
    <row r="36" spans="1:1" x14ac:dyDescent="0.25">
      <c r="A36" s="104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showZeros="0" topLeftCell="A25" zoomScaleNormal="100" workbookViewId="0">
      <selection activeCell="H52" sqref="H52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9" customFormat="1" ht="18" customHeight="1" x14ac:dyDescent="0.25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5">
      <c r="A2" s="120" t="s">
        <v>57</v>
      </c>
      <c r="B2" s="120"/>
      <c r="C2" s="120"/>
      <c r="D2" s="120"/>
      <c r="E2" s="120"/>
      <c r="F2" s="120"/>
      <c r="G2" s="27"/>
      <c r="H2" s="28"/>
      <c r="I2" s="28"/>
    </row>
    <row r="3" spans="1:11" s="9" customFormat="1" ht="18" customHeight="1" x14ac:dyDescent="0.25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5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5">
      <c r="A5" s="10" t="str">
        <f>'Summary Load Customers '!A6</f>
        <v>Data as of December 31,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5">
      <c r="A6" s="17"/>
      <c r="B6" s="6"/>
      <c r="C6" s="18"/>
      <c r="D6" s="18"/>
      <c r="E6" s="12"/>
      <c r="F6" s="12"/>
    </row>
    <row r="7" spans="1:11" s="9" customFormat="1" ht="18" customHeight="1" x14ac:dyDescent="0.25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6.4" x14ac:dyDescent="0.25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25</v>
      </c>
    </row>
    <row r="9" spans="1:11" ht="14.25" customHeight="1" x14ac:dyDescent="0.25">
      <c r="A9" s="108">
        <v>1</v>
      </c>
      <c r="B9" s="113" t="s">
        <v>60</v>
      </c>
      <c r="C9" s="114">
        <v>336</v>
      </c>
      <c r="D9" s="114">
        <v>288</v>
      </c>
      <c r="E9" s="115">
        <v>624</v>
      </c>
      <c r="F9" s="23">
        <f>IF(E9=0,"",E9/$E$54)</f>
        <v>5.1795408137855475E-3</v>
      </c>
    </row>
    <row r="10" spans="1:11" ht="14.25" customHeight="1" x14ac:dyDescent="0.25">
      <c r="A10" s="108">
        <v>2</v>
      </c>
      <c r="B10" s="113" t="s">
        <v>58</v>
      </c>
      <c r="C10" s="114">
        <v>570</v>
      </c>
      <c r="D10" s="114">
        <v>747</v>
      </c>
      <c r="E10" s="115">
        <v>1317</v>
      </c>
      <c r="F10" s="23">
        <f t="shared" ref="F10:F53" si="0">IF(E10=0,"",E10/$E$54)</f>
        <v>1.0931819313710843E-2</v>
      </c>
    </row>
    <row r="11" spans="1:11" ht="14.25" customHeight="1" x14ac:dyDescent="0.25">
      <c r="A11" s="108">
        <v>3</v>
      </c>
      <c r="B11" s="113" t="s">
        <v>51</v>
      </c>
      <c r="C11" s="114">
        <v>11519</v>
      </c>
      <c r="D11" s="114">
        <v>759</v>
      </c>
      <c r="E11" s="115">
        <v>12278</v>
      </c>
      <c r="F11" s="23">
        <f t="shared" si="0"/>
        <v>0.10191410594817139</v>
      </c>
    </row>
    <row r="12" spans="1:11" ht="14.25" customHeight="1" x14ac:dyDescent="0.25">
      <c r="A12" s="108">
        <v>4</v>
      </c>
      <c r="B12" s="113" t="s">
        <v>59</v>
      </c>
      <c r="C12" s="114">
        <v>1</v>
      </c>
      <c r="D12" s="114">
        <v>14</v>
      </c>
      <c r="E12" s="115">
        <v>15</v>
      </c>
      <c r="F12" s="23">
        <f t="shared" si="0"/>
        <v>1.2450819263907565E-4</v>
      </c>
    </row>
    <row r="13" spans="1:11" ht="14.25" customHeight="1" x14ac:dyDescent="0.25">
      <c r="A13" s="108">
        <v>5</v>
      </c>
      <c r="B13" s="116" t="s">
        <v>55</v>
      </c>
      <c r="C13" s="114">
        <v>39</v>
      </c>
      <c r="D13" s="114">
        <v>187</v>
      </c>
      <c r="E13" s="115">
        <v>226</v>
      </c>
      <c r="F13" s="23">
        <f t="shared" si="0"/>
        <v>1.8759234357620732E-3</v>
      </c>
    </row>
    <row r="14" spans="1:11" ht="14.25" customHeight="1" x14ac:dyDescent="0.25">
      <c r="A14" s="108">
        <v>6</v>
      </c>
      <c r="B14" s="117" t="s">
        <v>88</v>
      </c>
      <c r="C14" s="114">
        <v>263</v>
      </c>
      <c r="D14" s="114">
        <v>101</v>
      </c>
      <c r="E14" s="115">
        <v>364</v>
      </c>
      <c r="F14" s="23">
        <f t="shared" si="0"/>
        <v>3.0213988080415692E-3</v>
      </c>
    </row>
    <row r="15" spans="1:11" ht="14.25" customHeight="1" x14ac:dyDescent="0.25">
      <c r="A15" s="108">
        <v>7</v>
      </c>
      <c r="B15" s="113" t="s">
        <v>89</v>
      </c>
      <c r="C15" s="114">
        <v>17</v>
      </c>
      <c r="D15" s="114">
        <v>3050</v>
      </c>
      <c r="E15" s="115">
        <v>3067</v>
      </c>
      <c r="F15" s="23">
        <f t="shared" si="0"/>
        <v>2.5457775121603E-2</v>
      </c>
    </row>
    <row r="16" spans="1:11" ht="14.25" customHeight="1" x14ac:dyDescent="0.25">
      <c r="A16" s="108">
        <v>8</v>
      </c>
      <c r="B16" s="117" t="s">
        <v>61</v>
      </c>
      <c r="C16" s="114">
        <v>9</v>
      </c>
      <c r="D16" s="114">
        <v>32</v>
      </c>
      <c r="E16" s="115">
        <v>41</v>
      </c>
      <c r="F16" s="23">
        <f t="shared" si="0"/>
        <v>3.4032239321347345E-4</v>
      </c>
    </row>
    <row r="17" spans="1:6" ht="14.25" customHeight="1" x14ac:dyDescent="0.25">
      <c r="A17" s="108">
        <v>9</v>
      </c>
      <c r="B17" s="113" t="s">
        <v>62</v>
      </c>
      <c r="C17" s="114">
        <v>707</v>
      </c>
      <c r="D17" s="114">
        <v>18</v>
      </c>
      <c r="E17" s="115">
        <v>725</v>
      </c>
      <c r="F17" s="23">
        <f t="shared" si="0"/>
        <v>6.0178959775553228E-3</v>
      </c>
    </row>
    <row r="18" spans="1:6" ht="14.25" customHeight="1" x14ac:dyDescent="0.25">
      <c r="A18" s="108">
        <v>10</v>
      </c>
      <c r="B18" s="113" t="s">
        <v>63</v>
      </c>
      <c r="C18" s="114">
        <v>8130</v>
      </c>
      <c r="D18" s="114">
        <v>358</v>
      </c>
      <c r="E18" s="115">
        <v>8488</v>
      </c>
      <c r="F18" s="23">
        <f t="shared" si="0"/>
        <v>7.0455035941364944E-2</v>
      </c>
    </row>
    <row r="19" spans="1:6" ht="14.25" customHeight="1" x14ac:dyDescent="0.25">
      <c r="A19" s="108">
        <v>11</v>
      </c>
      <c r="B19" s="113" t="s">
        <v>64</v>
      </c>
      <c r="C19" s="114">
        <v>21</v>
      </c>
      <c r="D19" s="114">
        <v>50</v>
      </c>
      <c r="E19" s="115">
        <v>71</v>
      </c>
      <c r="F19" s="23">
        <f t="shared" si="0"/>
        <v>5.8933877849162469E-4</v>
      </c>
    </row>
    <row r="20" spans="1:6" ht="14.25" customHeight="1" x14ac:dyDescent="0.25">
      <c r="A20" s="108">
        <v>12</v>
      </c>
      <c r="B20" s="113" t="s">
        <v>90</v>
      </c>
      <c r="C20" s="114">
        <v>23</v>
      </c>
      <c r="D20" s="114">
        <v>1</v>
      </c>
      <c r="E20" s="115">
        <v>24</v>
      </c>
      <c r="F20" s="23">
        <f t="shared" si="0"/>
        <v>1.9921310822252104E-4</v>
      </c>
    </row>
    <row r="21" spans="1:6" ht="14.25" customHeight="1" x14ac:dyDescent="0.25">
      <c r="A21" s="108">
        <v>13</v>
      </c>
      <c r="B21" s="113" t="s">
        <v>65</v>
      </c>
      <c r="C21" s="114">
        <v>53</v>
      </c>
      <c r="D21" s="114">
        <v>714</v>
      </c>
      <c r="E21" s="115">
        <v>767</v>
      </c>
      <c r="F21" s="23">
        <f t="shared" si="0"/>
        <v>6.3665189169447352E-3</v>
      </c>
    </row>
    <row r="22" spans="1:6" ht="14.25" customHeight="1" x14ac:dyDescent="0.25">
      <c r="A22" s="108">
        <v>14</v>
      </c>
      <c r="B22" s="113" t="s">
        <v>65</v>
      </c>
      <c r="C22" s="114">
        <v>606</v>
      </c>
      <c r="D22" s="114">
        <v>3884</v>
      </c>
      <c r="E22" s="115">
        <v>4490</v>
      </c>
      <c r="F22" s="23">
        <f t="shared" si="0"/>
        <v>3.7269452329963308E-2</v>
      </c>
    </row>
    <row r="23" spans="1:6" ht="14.25" customHeight="1" x14ac:dyDescent="0.25">
      <c r="A23" s="108">
        <v>15</v>
      </c>
      <c r="B23" s="113" t="s">
        <v>66</v>
      </c>
      <c r="C23" s="114">
        <v>740</v>
      </c>
      <c r="D23" s="114">
        <v>105</v>
      </c>
      <c r="E23" s="115">
        <v>845</v>
      </c>
      <c r="F23" s="23">
        <f t="shared" si="0"/>
        <v>7.013961518667928E-3</v>
      </c>
    </row>
    <row r="24" spans="1:6" ht="14.25" customHeight="1" x14ac:dyDescent="0.25">
      <c r="A24" s="108">
        <v>16</v>
      </c>
      <c r="B24" s="113" t="s">
        <v>67</v>
      </c>
      <c r="C24" s="114">
        <v>65</v>
      </c>
      <c r="D24" s="114">
        <v>1497</v>
      </c>
      <c r="E24" s="115">
        <v>1562</v>
      </c>
      <c r="F24" s="23">
        <f t="shared" si="0"/>
        <v>1.2965453126815744E-2</v>
      </c>
    </row>
    <row r="25" spans="1:6" ht="14.25" customHeight="1" x14ac:dyDescent="0.25">
      <c r="A25" s="108">
        <v>17</v>
      </c>
      <c r="B25" s="113" t="s">
        <v>68</v>
      </c>
      <c r="C25" s="114">
        <v>10340</v>
      </c>
      <c r="D25" s="114">
        <v>2888</v>
      </c>
      <c r="E25" s="115">
        <v>13228</v>
      </c>
      <c r="F25" s="23">
        <f t="shared" si="0"/>
        <v>0.10979962481531284</v>
      </c>
    </row>
    <row r="26" spans="1:6" ht="14.25" customHeight="1" x14ac:dyDescent="0.25">
      <c r="A26" s="108">
        <v>18</v>
      </c>
      <c r="B26" s="117" t="s">
        <v>69</v>
      </c>
      <c r="C26" s="114">
        <v>4513</v>
      </c>
      <c r="D26" s="114">
        <v>308</v>
      </c>
      <c r="E26" s="115">
        <v>4821</v>
      </c>
      <c r="F26" s="23">
        <f t="shared" si="0"/>
        <v>4.0016933114198912E-2</v>
      </c>
    </row>
    <row r="27" spans="1:6" ht="14.25" customHeight="1" x14ac:dyDescent="0.25">
      <c r="A27" s="108">
        <v>19</v>
      </c>
      <c r="B27" s="118" t="s">
        <v>91</v>
      </c>
      <c r="C27" s="114">
        <v>4</v>
      </c>
      <c r="D27" s="114">
        <v>8</v>
      </c>
      <c r="E27" s="115">
        <v>12</v>
      </c>
      <c r="F27" s="23">
        <f t="shared" si="0"/>
        <v>9.9606554111260519E-5</v>
      </c>
    </row>
    <row r="28" spans="1:6" ht="14.25" customHeight="1" x14ac:dyDescent="0.25">
      <c r="A28" s="108">
        <v>20</v>
      </c>
      <c r="B28" s="117" t="s">
        <v>70</v>
      </c>
      <c r="C28" s="114">
        <v>623</v>
      </c>
      <c r="D28" s="114">
        <v>141</v>
      </c>
      <c r="E28" s="115">
        <v>764</v>
      </c>
      <c r="F28" s="23">
        <f t="shared" si="0"/>
        <v>6.3416172784169196E-3</v>
      </c>
    </row>
    <row r="29" spans="1:6" ht="14.25" customHeight="1" x14ac:dyDescent="0.25">
      <c r="A29" s="108">
        <v>21</v>
      </c>
      <c r="B29" s="113" t="s">
        <v>71</v>
      </c>
      <c r="C29" s="114">
        <v>93</v>
      </c>
      <c r="D29" s="114">
        <v>672</v>
      </c>
      <c r="E29" s="115">
        <v>765</v>
      </c>
      <c r="F29" s="23">
        <f t="shared" si="0"/>
        <v>6.3499178245928585E-3</v>
      </c>
    </row>
    <row r="30" spans="1:6" ht="14.25" customHeight="1" x14ac:dyDescent="0.25">
      <c r="A30" s="108">
        <v>22</v>
      </c>
      <c r="B30" s="117" t="s">
        <v>92</v>
      </c>
      <c r="C30" s="114">
        <v>3</v>
      </c>
      <c r="D30" s="114">
        <v>0</v>
      </c>
      <c r="E30" s="115">
        <v>3</v>
      </c>
      <c r="F30" s="23">
        <f t="shared" si="0"/>
        <v>2.490163852781513E-5</v>
      </c>
    </row>
    <row r="31" spans="1:6" ht="14.25" customHeight="1" x14ac:dyDescent="0.25">
      <c r="A31" s="108">
        <v>23</v>
      </c>
      <c r="B31" s="117" t="s">
        <v>93</v>
      </c>
      <c r="C31" s="114">
        <v>9258</v>
      </c>
      <c r="D31" s="114">
        <v>897</v>
      </c>
      <c r="E31" s="115">
        <v>10155</v>
      </c>
      <c r="F31" s="23">
        <f t="shared" si="0"/>
        <v>8.429204641665422E-2</v>
      </c>
    </row>
    <row r="32" spans="1:6" ht="14.25" customHeight="1" x14ac:dyDescent="0.25">
      <c r="A32" s="108">
        <v>24</v>
      </c>
      <c r="B32" s="113" t="s">
        <v>72</v>
      </c>
      <c r="C32" s="114">
        <v>802</v>
      </c>
      <c r="D32" s="114">
        <v>13</v>
      </c>
      <c r="E32" s="115">
        <v>815</v>
      </c>
      <c r="F32" s="23">
        <f t="shared" si="0"/>
        <v>6.7649451333897772E-3</v>
      </c>
    </row>
    <row r="33" spans="1:6" ht="14.25" customHeight="1" x14ac:dyDescent="0.25">
      <c r="A33" s="108">
        <v>25</v>
      </c>
      <c r="B33" s="113" t="s">
        <v>94</v>
      </c>
      <c r="C33" s="114">
        <v>0</v>
      </c>
      <c r="D33" s="114">
        <v>11</v>
      </c>
      <c r="E33" s="115">
        <v>11</v>
      </c>
      <c r="F33" s="23">
        <f t="shared" si="0"/>
        <v>9.1306007935322141E-5</v>
      </c>
    </row>
    <row r="34" spans="1:6" ht="14.25" customHeight="1" x14ac:dyDescent="0.25">
      <c r="A34" s="108">
        <v>26</v>
      </c>
      <c r="B34" s="113" t="s">
        <v>13</v>
      </c>
      <c r="C34" s="114">
        <v>3114</v>
      </c>
      <c r="D34" s="114">
        <v>290</v>
      </c>
      <c r="E34" s="115">
        <v>3404</v>
      </c>
      <c r="F34" s="23">
        <f t="shared" si="0"/>
        <v>2.8255059182894234E-2</v>
      </c>
    </row>
    <row r="35" spans="1:6" ht="14.25" customHeight="1" x14ac:dyDescent="0.25">
      <c r="A35" s="108">
        <v>27</v>
      </c>
      <c r="B35" s="113" t="s">
        <v>73</v>
      </c>
      <c r="C35" s="114">
        <v>152</v>
      </c>
      <c r="D35" s="114">
        <v>8</v>
      </c>
      <c r="E35" s="115">
        <v>160</v>
      </c>
      <c r="F35" s="23">
        <f t="shared" si="0"/>
        <v>1.3280873881501402E-3</v>
      </c>
    </row>
    <row r="36" spans="1:6" ht="14.25" customHeight="1" x14ac:dyDescent="0.25">
      <c r="A36" s="108">
        <v>28</v>
      </c>
      <c r="B36" s="113" t="s">
        <v>74</v>
      </c>
      <c r="C36" s="114">
        <v>214</v>
      </c>
      <c r="D36" s="114">
        <v>112</v>
      </c>
      <c r="E36" s="115">
        <v>326</v>
      </c>
      <c r="F36" s="23">
        <f t="shared" si="0"/>
        <v>2.7059780533559108E-3</v>
      </c>
    </row>
    <row r="37" spans="1:6" ht="14.25" customHeight="1" x14ac:dyDescent="0.25">
      <c r="A37" s="108">
        <v>29</v>
      </c>
      <c r="B37" s="113" t="s">
        <v>75</v>
      </c>
      <c r="C37" s="114">
        <v>0</v>
      </c>
      <c r="D37" s="114">
        <v>64</v>
      </c>
      <c r="E37" s="115">
        <v>64</v>
      </c>
      <c r="F37" s="23">
        <f t="shared" si="0"/>
        <v>5.3123495526005606E-4</v>
      </c>
    </row>
    <row r="38" spans="1:6" ht="14.25" customHeight="1" x14ac:dyDescent="0.25">
      <c r="A38" s="108">
        <v>30</v>
      </c>
      <c r="B38" s="118" t="s">
        <v>95</v>
      </c>
      <c r="C38" s="114">
        <v>360</v>
      </c>
      <c r="D38" s="114">
        <v>21</v>
      </c>
      <c r="E38" s="115">
        <v>381</v>
      </c>
      <c r="F38" s="23">
        <f t="shared" si="0"/>
        <v>3.1625080930325214E-3</v>
      </c>
    </row>
    <row r="39" spans="1:6" ht="14.25" customHeight="1" x14ac:dyDescent="0.25">
      <c r="A39" s="108">
        <v>31</v>
      </c>
      <c r="B39" s="113" t="s">
        <v>96</v>
      </c>
      <c r="C39" s="114">
        <v>273</v>
      </c>
      <c r="D39" s="114">
        <v>524</v>
      </c>
      <c r="E39" s="115">
        <v>797</v>
      </c>
      <c r="F39" s="23">
        <f t="shared" si="0"/>
        <v>6.6155353022228861E-3</v>
      </c>
    </row>
    <row r="40" spans="1:6" ht="14.25" customHeight="1" x14ac:dyDescent="0.25">
      <c r="A40" s="108">
        <v>32</v>
      </c>
      <c r="B40" s="113" t="s">
        <v>76</v>
      </c>
      <c r="C40" s="114">
        <v>8315</v>
      </c>
      <c r="D40" s="114">
        <v>208</v>
      </c>
      <c r="E40" s="115">
        <v>8523</v>
      </c>
      <c r="F40" s="23">
        <f t="shared" si="0"/>
        <v>7.074555505752278E-2</v>
      </c>
    </row>
    <row r="41" spans="1:6" ht="14.25" customHeight="1" x14ac:dyDescent="0.25">
      <c r="A41" s="108">
        <v>33</v>
      </c>
      <c r="B41" s="113" t="s">
        <v>77</v>
      </c>
      <c r="C41" s="114">
        <v>1497</v>
      </c>
      <c r="D41" s="114">
        <v>98</v>
      </c>
      <c r="E41" s="115">
        <v>1595</v>
      </c>
      <c r="F41" s="23">
        <f t="shared" si="0"/>
        <v>1.3239371150621711E-2</v>
      </c>
    </row>
    <row r="42" spans="1:6" ht="14.25" customHeight="1" x14ac:dyDescent="0.25">
      <c r="A42" s="108">
        <v>34</v>
      </c>
      <c r="B42" s="113" t="s">
        <v>78</v>
      </c>
      <c r="C42" s="114">
        <v>7160</v>
      </c>
      <c r="D42" s="114">
        <v>1039</v>
      </c>
      <c r="E42" s="115">
        <v>8199</v>
      </c>
      <c r="F42" s="23">
        <f t="shared" si="0"/>
        <v>6.8056178096518746E-2</v>
      </c>
    </row>
    <row r="43" spans="1:6" ht="14.25" customHeight="1" x14ac:dyDescent="0.25">
      <c r="A43" s="108">
        <v>35</v>
      </c>
      <c r="B43" s="113" t="s">
        <v>97</v>
      </c>
      <c r="C43" s="114">
        <v>1286</v>
      </c>
      <c r="D43" s="114">
        <v>267</v>
      </c>
      <c r="E43" s="115">
        <v>1553</v>
      </c>
      <c r="F43" s="23">
        <f t="shared" si="0"/>
        <v>1.2890748211232299E-2</v>
      </c>
    </row>
    <row r="44" spans="1:6" ht="14.25" customHeight="1" x14ac:dyDescent="0.25">
      <c r="A44" s="108">
        <v>36</v>
      </c>
      <c r="B44" s="113" t="s">
        <v>79</v>
      </c>
      <c r="C44" s="114">
        <v>5037</v>
      </c>
      <c r="D44" s="114">
        <v>898</v>
      </c>
      <c r="E44" s="115">
        <v>5935</v>
      </c>
      <c r="F44" s="23">
        <f t="shared" si="0"/>
        <v>4.9263741554194267E-2</v>
      </c>
    </row>
    <row r="45" spans="1:6" ht="14.25" customHeight="1" x14ac:dyDescent="0.25">
      <c r="A45" s="108">
        <v>37</v>
      </c>
      <c r="B45" s="113" t="s">
        <v>80</v>
      </c>
      <c r="C45" s="114">
        <v>3221</v>
      </c>
      <c r="D45" s="114">
        <v>186</v>
      </c>
      <c r="E45" s="115">
        <v>3407</v>
      </c>
      <c r="F45" s="23">
        <f t="shared" si="0"/>
        <v>2.8279960821422048E-2</v>
      </c>
    </row>
    <row r="46" spans="1:6" ht="14.25" customHeight="1" x14ac:dyDescent="0.25">
      <c r="A46" s="108">
        <v>38</v>
      </c>
      <c r="B46" s="113" t="s">
        <v>81</v>
      </c>
      <c r="C46" s="114">
        <v>2524</v>
      </c>
      <c r="D46" s="114">
        <v>347</v>
      </c>
      <c r="E46" s="115">
        <v>2871</v>
      </c>
      <c r="F46" s="23">
        <f t="shared" si="0"/>
        <v>2.3830868071119081E-2</v>
      </c>
    </row>
    <row r="47" spans="1:6" ht="14.25" customHeight="1" x14ac:dyDescent="0.25">
      <c r="A47" s="108">
        <v>39</v>
      </c>
      <c r="B47" s="113" t="s">
        <v>82</v>
      </c>
      <c r="C47" s="114">
        <v>0</v>
      </c>
      <c r="D47" s="114">
        <v>14</v>
      </c>
      <c r="E47" s="115">
        <v>14</v>
      </c>
      <c r="F47" s="23">
        <f t="shared" si="0"/>
        <v>1.1620764646313727E-4</v>
      </c>
    </row>
    <row r="48" spans="1:6" ht="14.25" customHeight="1" x14ac:dyDescent="0.25">
      <c r="A48" s="108">
        <v>40</v>
      </c>
      <c r="B48" s="113" t="s">
        <v>56</v>
      </c>
      <c r="C48" s="114">
        <v>4657</v>
      </c>
      <c r="D48" s="114">
        <v>164</v>
      </c>
      <c r="E48" s="115">
        <v>4821</v>
      </c>
      <c r="F48" s="23">
        <f t="shared" si="0"/>
        <v>4.0016933114198912E-2</v>
      </c>
    </row>
    <row r="49" spans="1:10" ht="14.25" customHeight="1" x14ac:dyDescent="0.25">
      <c r="A49" s="108">
        <v>41</v>
      </c>
      <c r="B49" s="113" t="s">
        <v>98</v>
      </c>
      <c r="C49" s="114">
        <v>5591</v>
      </c>
      <c r="D49" s="114">
        <v>175</v>
      </c>
      <c r="E49" s="115">
        <v>5766</v>
      </c>
      <c r="F49" s="23">
        <f t="shared" si="0"/>
        <v>4.786094925046068E-2</v>
      </c>
    </row>
    <row r="50" spans="1:10" ht="14.25" customHeight="1" x14ac:dyDescent="0.25">
      <c r="A50" s="108">
        <v>42</v>
      </c>
      <c r="B50" s="113" t="s">
        <v>83</v>
      </c>
      <c r="C50" s="114">
        <v>0</v>
      </c>
      <c r="D50" s="114">
        <v>68</v>
      </c>
      <c r="E50" s="115">
        <v>68</v>
      </c>
      <c r="F50" s="23">
        <f t="shared" si="0"/>
        <v>5.6443713996380963E-4</v>
      </c>
    </row>
    <row r="51" spans="1:10" x14ac:dyDescent="0.25">
      <c r="A51" s="108">
        <v>43</v>
      </c>
      <c r="B51" s="117" t="s">
        <v>84</v>
      </c>
      <c r="C51" s="114">
        <v>3896</v>
      </c>
      <c r="D51" s="114">
        <v>80</v>
      </c>
      <c r="E51" s="115">
        <v>3976</v>
      </c>
      <c r="F51" s="23">
        <f t="shared" si="0"/>
        <v>3.3002971595530985E-2</v>
      </c>
    </row>
    <row r="52" spans="1:10" x14ac:dyDescent="0.25">
      <c r="A52" s="108">
        <v>44</v>
      </c>
      <c r="B52" s="117" t="s">
        <v>85</v>
      </c>
      <c r="C52" s="114">
        <v>1099</v>
      </c>
      <c r="D52" s="114">
        <v>160</v>
      </c>
      <c r="E52" s="115">
        <v>1259</v>
      </c>
      <c r="F52" s="23">
        <f t="shared" si="0"/>
        <v>1.0450387635506417E-2</v>
      </c>
      <c r="G52" s="112"/>
    </row>
    <row r="53" spans="1:10" ht="13.8" thickBot="1" x14ac:dyDescent="0.3">
      <c r="A53" s="108">
        <v>45</v>
      </c>
      <c r="B53" s="119" t="s">
        <v>86</v>
      </c>
      <c r="C53" s="114">
        <v>1590</v>
      </c>
      <c r="D53" s="114">
        <v>287</v>
      </c>
      <c r="E53" s="115">
        <v>1877</v>
      </c>
      <c r="F53" s="23">
        <f t="shared" si="0"/>
        <v>1.5580125172236333E-2</v>
      </c>
    </row>
    <row r="54" spans="1:10" ht="13.8" thickTop="1" x14ac:dyDescent="0.25">
      <c r="A54" s="109"/>
      <c r="B54" s="111" t="s">
        <v>99</v>
      </c>
      <c r="C54" s="114">
        <f>SUM(C9:C53)</f>
        <v>98721</v>
      </c>
      <c r="D54" s="114">
        <f>SUM(D9:D53)</f>
        <v>21753</v>
      </c>
      <c r="E54" s="115">
        <f>SUM(E9:E53)</f>
        <v>120474</v>
      </c>
      <c r="F54" s="23">
        <f>SUM(F9:F53)</f>
        <v>1.0000000000000002</v>
      </c>
    </row>
    <row r="55" spans="1:10" x14ac:dyDescent="0.25">
      <c r="A55" s="2" t="s">
        <v>18</v>
      </c>
      <c r="B55" s="18"/>
      <c r="C55" s="18"/>
      <c r="D55" s="18"/>
      <c r="E55" s="18"/>
    </row>
    <row r="56" spans="1:10" x14ac:dyDescent="0.25">
      <c r="A56" s="2" t="s">
        <v>22</v>
      </c>
      <c r="D56" s="18"/>
      <c r="E56" s="18"/>
    </row>
    <row r="57" spans="1:10" x14ac:dyDescent="0.25">
      <c r="A57" s="2" t="s">
        <v>23</v>
      </c>
      <c r="C57" s="11"/>
      <c r="D57" s="11"/>
      <c r="E57" s="11"/>
    </row>
    <row r="58" spans="1:10" x14ac:dyDescent="0.25">
      <c r="C58" s="11"/>
      <c r="D58" s="11"/>
      <c r="E58" s="11"/>
    </row>
    <row r="59" spans="1:10" x14ac:dyDescent="0.25">
      <c r="B59" s="106"/>
    </row>
    <row r="60" spans="1:10" x14ac:dyDescent="0.25">
      <c r="J60" s="107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5">
      <c r="A2" s="120" t="s">
        <v>57</v>
      </c>
      <c r="B2" s="120"/>
      <c r="C2" s="120"/>
      <c r="D2" s="120"/>
      <c r="E2" s="120"/>
      <c r="F2" s="120"/>
      <c r="G2" s="120"/>
      <c r="H2" s="120"/>
      <c r="I2" s="28"/>
    </row>
    <row r="3" spans="1:9" s="9" customFormat="1" ht="18" customHeight="1" x14ac:dyDescent="0.25">
      <c r="A3" s="25" t="s">
        <v>49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5">
      <c r="A4" s="25" t="s">
        <v>48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5">
      <c r="A6" s="10" t="str">
        <f>'Summary Load Customers '!A6</f>
        <v>Data as of December 31,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3">
      <c r="A8" s="63" t="s">
        <v>42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4">
      <c r="B9" s="30"/>
      <c r="C9" s="30"/>
      <c r="D9" s="61"/>
      <c r="E9" s="61"/>
      <c r="F9" s="68"/>
      <c r="G9" s="68"/>
      <c r="H9" s="30"/>
    </row>
    <row r="10" spans="1:9" ht="18" customHeight="1" x14ac:dyDescent="0.25">
      <c r="A10" s="31" t="s">
        <v>53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26</v>
      </c>
      <c r="E11" s="55"/>
      <c r="F11" s="34" t="s">
        <v>33</v>
      </c>
      <c r="G11" s="36"/>
    </row>
    <row r="12" spans="1:9" ht="18" customHeight="1" x14ac:dyDescent="0.25">
      <c r="A12" s="39"/>
      <c r="B12" s="40" t="s">
        <v>14</v>
      </c>
      <c r="C12" s="41" t="s">
        <v>20</v>
      </c>
      <c r="D12" s="40" t="str">
        <f>B12</f>
        <v>Customers</v>
      </c>
      <c r="E12" s="41" t="s">
        <v>20</v>
      </c>
      <c r="F12" s="40" t="str">
        <f>B12</f>
        <v>Customers</v>
      </c>
      <c r="G12" s="41" t="s">
        <v>19</v>
      </c>
    </row>
    <row r="13" spans="1:9" ht="18" customHeight="1" x14ac:dyDescent="0.25">
      <c r="A13" s="42" t="s">
        <v>44</v>
      </c>
      <c r="B13" s="45">
        <f>REC_programs_detail!B23</f>
        <v>3726</v>
      </c>
      <c r="C13" s="46">
        <f>IF(B13=0,0,B13/'Summary Load Customers '!$B$22)</f>
        <v>1.2341058363335862E-2</v>
      </c>
      <c r="D13" s="45">
        <f>REC_programs_detail!C23</f>
        <v>40</v>
      </c>
      <c r="E13" s="46">
        <f>IF(D13=0,0,D13/('Summary Load Customers '!$D$22+'Summary Load Customers '!$F$22))</f>
        <v>1.0194199500484225E-3</v>
      </c>
      <c r="F13" s="45">
        <f>B13+D13</f>
        <v>3766</v>
      </c>
      <c r="G13" s="46">
        <f>IF(F13=0,0,F13/'Summary Load Customers '!$H$22)</f>
        <v>1.1038905841005755E-2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3,766 of UI's customers, or 1.1%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5">
      <c r="A17" s="31" t="s">
        <v>43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26</v>
      </c>
      <c r="E18" s="55"/>
      <c r="F18" s="34" t="s">
        <v>33</v>
      </c>
      <c r="G18" s="36"/>
    </row>
    <row r="19" spans="1:9" ht="18" customHeight="1" x14ac:dyDescent="0.25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B19</f>
        <v>Customers</v>
      </c>
      <c r="G19" s="41" t="s">
        <v>19</v>
      </c>
    </row>
    <row r="20" spans="1:9" ht="18" customHeight="1" x14ac:dyDescent="0.25">
      <c r="A20" s="42" t="s">
        <v>45</v>
      </c>
      <c r="B20" s="45">
        <f>REC_programs_detail!B29</f>
        <v>682</v>
      </c>
      <c r="C20" s="46">
        <f>IF(B20=0,0,B20/'Summary Load Customers '!$B$22)</f>
        <v>2.2588840053126831E-3</v>
      </c>
      <c r="D20" s="45">
        <f>REC_programs_detail!C29</f>
        <v>61</v>
      </c>
      <c r="E20" s="46">
        <f>IF(D20=0,0,D20/('Summary Load Customers '!$D$22+'Summary Load Customers '!$F$22))</f>
        <v>1.5546154238238442E-3</v>
      </c>
      <c r="F20" s="45">
        <f>B20+D20</f>
        <v>743</v>
      </c>
      <c r="G20" s="46">
        <f>IF(F20=0,0,F20/'Summary Load Customers '!$H$22)</f>
        <v>2.1778829102143587E-3</v>
      </c>
    </row>
    <row r="21" spans="1:9" ht="18" customHeight="1" x14ac:dyDescent="0.25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5">
      <c r="A22" s="102" t="str">
        <f>"As the above table shows, "&amp;TEXT(F20,"0,000")&amp;" of UI's customers, or "&amp;TEXT(G20,"0.0%")&amp;" are participating in the REC only program."</f>
        <v>As the above table shows, 0,743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3.8" x14ac:dyDescent="0.25">
      <c r="A23" s="48"/>
    </row>
    <row r="24" spans="1:9" ht="13.8" x14ac:dyDescent="0.25">
      <c r="A24" s="31" t="s">
        <v>47</v>
      </c>
      <c r="B24" s="32"/>
      <c r="C24" s="32"/>
      <c r="D24" s="32"/>
      <c r="E24" s="32"/>
      <c r="F24" s="32"/>
      <c r="G24" s="53"/>
      <c r="H24" s="27"/>
      <c r="I24" s="28"/>
    </row>
    <row r="25" spans="1:9" ht="13.8" x14ac:dyDescent="0.25">
      <c r="A25" s="42"/>
      <c r="B25" s="34" t="s">
        <v>5</v>
      </c>
      <c r="C25" s="54"/>
      <c r="D25" s="34" t="s">
        <v>26</v>
      </c>
      <c r="E25" s="55"/>
      <c r="F25" s="34" t="s">
        <v>33</v>
      </c>
      <c r="G25" s="36"/>
    </row>
    <row r="26" spans="1:9" ht="13.8" x14ac:dyDescent="0.25">
      <c r="A26" s="39"/>
      <c r="B26" s="40" t="s">
        <v>14</v>
      </c>
      <c r="C26" s="41" t="s">
        <v>20</v>
      </c>
      <c r="D26" s="40" t="str">
        <f>B26</f>
        <v>Customers</v>
      </c>
      <c r="E26" s="41" t="s">
        <v>20</v>
      </c>
      <c r="F26" s="40" t="str">
        <f>B26</f>
        <v>Customers</v>
      </c>
      <c r="G26" s="41" t="s">
        <v>19</v>
      </c>
    </row>
    <row r="27" spans="1:9" ht="13.8" x14ac:dyDescent="0.25">
      <c r="A27" s="42" t="s">
        <v>46</v>
      </c>
      <c r="B27" s="45">
        <f>B13+B20</f>
        <v>4408</v>
      </c>
      <c r="C27" s="46">
        <f>IF(B27=0,0,B27/'Summary Load Customers '!$B$22)</f>
        <v>1.4599942368648545E-2</v>
      </c>
      <c r="D27" s="45">
        <f>D13+D20</f>
        <v>101</v>
      </c>
      <c r="E27" s="46">
        <f>IF(D27=0,0,D27/('Summary Load Customers '!$D$22+'Summary Load Customers '!$F$22))</f>
        <v>2.5740353738722666E-3</v>
      </c>
      <c r="F27" s="45">
        <f>B27+D27</f>
        <v>4509</v>
      </c>
      <c r="G27" s="46">
        <f>IF(F27=0,0,F27/'Summary Load Customers '!$H$22)</f>
        <v>1.3216788751220112E-2</v>
      </c>
    </row>
    <row r="28" spans="1:9" ht="13.8" x14ac:dyDescent="0.25">
      <c r="G28" s="52"/>
      <c r="H28" s="30"/>
    </row>
    <row r="29" spans="1:9" ht="13.8" x14ac:dyDescent="0.25">
      <c r="A29" s="102" t="str">
        <f>"As the above table shows, "&amp;TEXT(F27,"0,000")&amp;" of UI's customers, or "&amp;TEXT(G27,"0.0%")&amp;" are participating in the combined REC programs."</f>
        <v>As the above table shows, 4,509 of UI's customers, or 1.3% are participating in the combined REC programs.</v>
      </c>
      <c r="G29" s="52"/>
      <c r="H29" s="30"/>
    </row>
    <row r="31" spans="1:9" ht="13.8" x14ac:dyDescent="0.25">
      <c r="A31" s="69" t="s">
        <v>32</v>
      </c>
    </row>
    <row r="32" spans="1:9" ht="13.8" x14ac:dyDescent="0.25">
      <c r="A32" s="69"/>
    </row>
    <row r="33" spans="1:1" ht="13.8" x14ac:dyDescent="0.25">
      <c r="A33" s="69" t="s">
        <v>54</v>
      </c>
    </row>
    <row r="34" spans="1:1" x14ac:dyDescent="0.25">
      <c r="A34" s="70" t="s">
        <v>52</v>
      </c>
    </row>
    <row r="36" spans="1:1" x14ac:dyDescent="0.25">
      <c r="A36" s="70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3" zoomScale="110" zoomScaleNormal="110" workbookViewId="0">
      <selection activeCell="B29" sqref="B29"/>
    </sheetView>
  </sheetViews>
  <sheetFormatPr defaultColWidth="9.109375" defaultRowHeight="10.199999999999999" x14ac:dyDescent="0.2"/>
  <cols>
    <col min="1" max="1" width="28" style="77" customWidth="1"/>
    <col min="2" max="3" width="19.109375" style="77" customWidth="1"/>
    <col min="4" max="4" width="20.33203125" style="77" customWidth="1"/>
    <col min="5" max="5" width="7.109375" style="77" customWidth="1"/>
    <col min="6" max="6" width="23.33203125" style="77" bestFit="1" customWidth="1"/>
    <col min="7" max="7" width="10.44140625" style="77" customWidth="1"/>
    <col min="8" max="16384" width="9.109375" style="77"/>
  </cols>
  <sheetData>
    <row r="1" spans="1:9" s="76" customFormat="1" ht="15" customHeight="1" x14ac:dyDescent="0.25">
      <c r="A1" s="121" t="str">
        <f>'Summary Load Customers '!A1</f>
        <v>The United Illuminating Company</v>
      </c>
      <c r="B1" s="121"/>
      <c r="C1" s="121"/>
      <c r="D1" s="121"/>
      <c r="E1" s="74"/>
      <c r="F1" s="74"/>
      <c r="G1" s="75"/>
    </row>
    <row r="2" spans="1:9" s="9" customFormat="1" ht="18" customHeight="1" x14ac:dyDescent="0.25">
      <c r="A2" s="122" t="s">
        <v>57</v>
      </c>
      <c r="B2" s="122"/>
      <c r="C2" s="122"/>
      <c r="D2" s="122"/>
      <c r="E2" s="26"/>
      <c r="F2" s="26"/>
      <c r="G2" s="27"/>
      <c r="H2" s="28"/>
      <c r="I2" s="28"/>
    </row>
    <row r="3" spans="1:9" s="76" customFormat="1" ht="15" customHeight="1" x14ac:dyDescent="0.25">
      <c r="A3" s="121" t="s">
        <v>35</v>
      </c>
      <c r="B3" s="121"/>
      <c r="C3" s="121"/>
      <c r="D3" s="121"/>
      <c r="E3" s="74"/>
      <c r="F3" s="74"/>
      <c r="G3" s="75"/>
    </row>
    <row r="4" spans="1:9" s="76" customFormat="1" ht="15" customHeight="1" x14ac:dyDescent="0.25">
      <c r="A4" s="121" t="s">
        <v>2</v>
      </c>
      <c r="B4" s="121"/>
      <c r="C4" s="121"/>
      <c r="D4" s="121"/>
      <c r="E4" s="74"/>
      <c r="F4" s="74"/>
      <c r="G4" s="75"/>
    </row>
    <row r="5" spans="1:9" s="76" customFormat="1" ht="15" customHeight="1" x14ac:dyDescent="0.25">
      <c r="A5" s="121" t="str">
        <f>'Summary Load Customers '!A6</f>
        <v>Data as of December 31, 2017</v>
      </c>
      <c r="B5" s="121"/>
      <c r="C5" s="121"/>
      <c r="D5" s="121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0.399999999999999" x14ac:dyDescent="0.2">
      <c r="A7" s="79" t="s">
        <v>37</v>
      </c>
      <c r="B7" s="80" t="s">
        <v>5</v>
      </c>
      <c r="C7" s="79" t="s">
        <v>6</v>
      </c>
      <c r="D7" s="79" t="s">
        <v>33</v>
      </c>
      <c r="E7" s="81"/>
      <c r="F7" s="81"/>
      <c r="G7" s="82"/>
      <c r="H7" s="83"/>
    </row>
    <row r="8" spans="1:9" x14ac:dyDescent="0.2">
      <c r="A8" s="85" t="s">
        <v>36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15</v>
      </c>
      <c r="B9" s="87">
        <v>137</v>
      </c>
      <c r="C9" s="87">
        <v>2</v>
      </c>
      <c r="D9" s="88">
        <f>SUM(B9:C9)</f>
        <v>139</v>
      </c>
      <c r="E9" s="90"/>
      <c r="F9" s="90"/>
      <c r="G9" s="89"/>
      <c r="H9" s="78"/>
    </row>
    <row r="10" spans="1:9" x14ac:dyDescent="0.2">
      <c r="A10" s="85" t="s">
        <v>16</v>
      </c>
      <c r="B10" s="87">
        <v>3054</v>
      </c>
      <c r="C10" s="87">
        <v>36</v>
      </c>
      <c r="D10" s="88">
        <f>SUM(B10:C10)</f>
        <v>3090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3191</v>
      </c>
      <c r="C11" s="94">
        <f>IF(SUM(C8:C10)=0,0,SUM(C8:C10))</f>
        <v>38</v>
      </c>
      <c r="D11" s="94">
        <f>IF(SUM(D8:D10)=0,0,SUM(D8:D10))</f>
        <v>3229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0.399999999999999" x14ac:dyDescent="0.2">
      <c r="A13" s="79" t="s">
        <v>40</v>
      </c>
      <c r="B13" s="79" t="s">
        <v>5</v>
      </c>
      <c r="C13" s="79" t="str">
        <f>C7</f>
        <v>Business</v>
      </c>
      <c r="D13" s="79" t="s">
        <v>33</v>
      </c>
      <c r="E13" s="97"/>
      <c r="F13" s="98"/>
      <c r="G13" s="96"/>
      <c r="H13" s="78"/>
    </row>
    <row r="14" spans="1:9" x14ac:dyDescent="0.2">
      <c r="A14" s="85" t="s">
        <v>36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15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16</v>
      </c>
      <c r="B16" s="87">
        <v>532</v>
      </c>
      <c r="C16" s="87">
        <v>2</v>
      </c>
      <c r="D16" s="88">
        <f>SUM(B16:C16)</f>
        <v>534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535</v>
      </c>
      <c r="C17" s="94">
        <f>IF(SUM(C14:C16)=0,0,SUM(C14:C16))</f>
        <v>2</v>
      </c>
      <c r="D17" s="94">
        <f>IF(SUM(D14:D16)=0,0,SUM(D14:D16))</f>
        <v>537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0.399999999999999" x14ac:dyDescent="0.2">
      <c r="A19" s="79" t="s">
        <v>41</v>
      </c>
      <c r="B19" s="79" t="s">
        <v>5</v>
      </c>
      <c r="C19" s="79" t="str">
        <f>C7</f>
        <v>Business</v>
      </c>
      <c r="D19" s="79" t="s">
        <v>33</v>
      </c>
      <c r="E19" s="97"/>
      <c r="F19" s="98"/>
      <c r="G19" s="96"/>
      <c r="H19" s="78"/>
    </row>
    <row r="20" spans="1:8" x14ac:dyDescent="0.2">
      <c r="A20" s="85" t="s">
        <v>36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15</v>
      </c>
      <c r="B21" s="99">
        <f>IF(B9+B15=0,0,B9+B15)</f>
        <v>140</v>
      </c>
      <c r="C21" s="99">
        <f>IF(C9+C15=0,0,C9+C15)</f>
        <v>2</v>
      </c>
      <c r="D21" s="88">
        <f t="shared" si="0"/>
        <v>142</v>
      </c>
      <c r="E21" s="89"/>
      <c r="F21" s="96"/>
      <c r="G21" s="96"/>
      <c r="H21" s="78"/>
    </row>
    <row r="22" spans="1:8" x14ac:dyDescent="0.2">
      <c r="A22" s="85" t="s">
        <v>16</v>
      </c>
      <c r="B22" s="99">
        <f>IF(B10+B16=0,0,B10+B16)</f>
        <v>3586</v>
      </c>
      <c r="C22" s="99">
        <f>IF(C10+C16=0,0,C10+C16)</f>
        <v>38</v>
      </c>
      <c r="D22" s="88">
        <f>IF(D10+D16=0,0,D10+D16)</f>
        <v>3624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3726</v>
      </c>
      <c r="C23" s="94">
        <f>IF(SUM(C20:C22)=0,0,SUM(C20:C22))</f>
        <v>40</v>
      </c>
      <c r="D23" s="94">
        <f>SUM(D20:D22)</f>
        <v>3766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0.399999999999999" x14ac:dyDescent="0.2">
      <c r="A25" s="79" t="s">
        <v>38</v>
      </c>
      <c r="B25" s="79" t="s">
        <v>5</v>
      </c>
      <c r="C25" s="79" t="s">
        <v>6</v>
      </c>
      <c r="D25" s="79" t="s">
        <v>33</v>
      </c>
    </row>
    <row r="26" spans="1:8" x14ac:dyDescent="0.2">
      <c r="A26" s="85" t="s">
        <v>36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15</v>
      </c>
      <c r="B27" s="87">
        <v>196</v>
      </c>
      <c r="C27" s="87">
        <v>11</v>
      </c>
      <c r="D27" s="88">
        <f>SUM(B27:C27)</f>
        <v>207</v>
      </c>
    </row>
    <row r="28" spans="1:8" x14ac:dyDescent="0.2">
      <c r="A28" s="85" t="s">
        <v>16</v>
      </c>
      <c r="B28" s="87">
        <v>486</v>
      </c>
      <c r="C28" s="87">
        <v>50</v>
      </c>
      <c r="D28" s="88">
        <f>SUM(B28:C28)</f>
        <v>536</v>
      </c>
    </row>
    <row r="29" spans="1:8" x14ac:dyDescent="0.2">
      <c r="A29" s="93" t="str">
        <f>A23</f>
        <v>Total</v>
      </c>
      <c r="B29" s="94">
        <f>IF(B27+B28=0,0,B27+B28)</f>
        <v>682</v>
      </c>
      <c r="C29" s="94">
        <f>IF(SUM(C26:C28)=0,0,SUM(C26:C28))</f>
        <v>61</v>
      </c>
      <c r="D29" s="94">
        <f>IF(SUM(D26:D28)=0,0,SUM(D26:D28))</f>
        <v>743</v>
      </c>
    </row>
    <row r="31" spans="1:8" x14ac:dyDescent="0.2">
      <c r="A31" s="79" t="s">
        <v>39</v>
      </c>
      <c r="B31" s="79" t="s">
        <v>5</v>
      </c>
      <c r="C31" s="79" t="str">
        <f>C19</f>
        <v>Business</v>
      </c>
      <c r="D31" s="79" t="s">
        <v>33</v>
      </c>
    </row>
    <row r="32" spans="1:8" x14ac:dyDescent="0.2">
      <c r="A32" s="85" t="s">
        <v>36</v>
      </c>
      <c r="B32" s="86">
        <f>B20+B26</f>
        <v>0</v>
      </c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15</v>
      </c>
      <c r="B33" s="99">
        <f>B21+B27</f>
        <v>336</v>
      </c>
      <c r="C33" s="99">
        <f t="shared" si="1"/>
        <v>13</v>
      </c>
      <c r="D33" s="88">
        <f t="shared" si="1"/>
        <v>349</v>
      </c>
      <c r="E33" s="78"/>
      <c r="F33" s="78"/>
      <c r="G33" s="78"/>
    </row>
    <row r="34" spans="1:7" x14ac:dyDescent="0.2">
      <c r="A34" s="85" t="s">
        <v>16</v>
      </c>
      <c r="B34" s="99">
        <f>B22+B28</f>
        <v>4072</v>
      </c>
      <c r="C34" s="99">
        <f t="shared" si="1"/>
        <v>88</v>
      </c>
      <c r="D34" s="88">
        <f t="shared" si="1"/>
        <v>4160</v>
      </c>
    </row>
    <row r="35" spans="1:7" x14ac:dyDescent="0.2">
      <c r="A35" s="93" t="str">
        <f>A29</f>
        <v>Total</v>
      </c>
      <c r="B35" s="94">
        <f>IF(B33+B34=0,0,B33+B34)</f>
        <v>4408</v>
      </c>
      <c r="C35" s="94">
        <f>IF(SUM(C32:C34)=0,0,SUM(C32:C34))</f>
        <v>101</v>
      </c>
      <c r="D35" s="94">
        <f>SUM(D32:D34)</f>
        <v>4509</v>
      </c>
    </row>
    <row r="37" spans="1:7" x14ac:dyDescent="0.2">
      <c r="A37" s="100" t="str">
        <f>"In summary, "&amp;TEXT($D$23,"0,000")&amp; " of UI's customers are participating in the CTCleanEnergyOptions Program"</f>
        <v>In summary, 3,766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743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4,509 of UI's customers are participating in all REC programs</v>
      </c>
    </row>
    <row r="41" spans="1:7" x14ac:dyDescent="0.2">
      <c r="A41" s="101" t="s">
        <v>21</v>
      </c>
    </row>
    <row r="42" spans="1:7" x14ac:dyDescent="0.2">
      <c r="A42" s="78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Arthur Forman</cp:lastModifiedBy>
  <cp:lastPrinted>2018-01-12T13:50:08Z</cp:lastPrinted>
  <dcterms:created xsi:type="dcterms:W3CDTF">2009-03-17T13:14:28Z</dcterms:created>
  <dcterms:modified xsi:type="dcterms:W3CDTF">2018-01-12T13:59:37Z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</Properties>
</file>