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8" yWindow="2268" windowWidth="20196" windowHeight="447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D59" i="6" l="1"/>
  <c r="E59" i="6"/>
  <c r="C59" i="6"/>
  <c r="F10" i="6"/>
  <c r="F59" i="6" s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9" i="6"/>
  <c r="F21" i="7" l="1"/>
  <c r="F20" i="7"/>
  <c r="D21" i="7"/>
  <c r="D20" i="7"/>
  <c r="B21" i="7"/>
  <c r="B20" i="7"/>
  <c r="F12" i="7"/>
  <c r="F11" i="7"/>
  <c r="D12" i="7"/>
  <c r="D11" i="7"/>
  <c r="B12" i="7"/>
  <c r="B11" i="7"/>
  <c r="B32" i="5" l="1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F13" i="7" l="1"/>
  <c r="G12" i="7" s="1"/>
  <c r="D13" i="7"/>
  <c r="E12" i="7" s="1"/>
  <c r="H11" i="7"/>
  <c r="G11" i="7" l="1"/>
  <c r="E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<sst xmlns="http://schemas.openxmlformats.org/spreadsheetml/2006/main" count="172" uniqueCount="105">
  <si>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</si>
  <si>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</si>
  <si>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</si>
  <si>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</si>
  <si>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</si>
  <si>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</si>
  <si>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</si>
  <si>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</si>
  <si>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</si>
  <si>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</si>
  <si>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</si>
  <si>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</si>
  <si>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</si>
  <si>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</si>
  <si>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</si>
  <si>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</si>
  <si>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</si>
  <si>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</si>
  <si>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</si>
  <si>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</si>
  <si>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</si>
  <si>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</si>
  <si>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</si>
  <si>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</si>
  <si>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</si>
  <si>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</si>
  <si>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</si>
  <si>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</si>
  <si>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</si>
  <si>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</si>
  <si>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</si>
  <si>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</si>
  <si>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</si>
  <si>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</si>
  <si>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</si>
  <si>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</si>
  <si>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</si>
  <si>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</si>
  <si>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</si>
  <si>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</si>
  <si>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</si>
  <si>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</si>
  <si>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</si>
  <si>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</si>
  <si>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</si>
  <si>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</si>
  <si>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</si>
  <si>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</si>
  <si>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</si>
  <si>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</si>
  <si>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</si>
  <si>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</si>
  <si>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</si>
  <si>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</si>
  <si>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</si>
  <si>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</si>
  <si>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</si>
  <si>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</si>
  <si>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</si>
  <si>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America Wide Energy, LLC</t>
  </si>
  <si>
    <t>Aequitas Energy</t>
  </si>
  <si>
    <t>Champion Energy Marketing LLC</t>
  </si>
  <si>
    <t>Choice Energy</t>
  </si>
  <si>
    <t>Clearview Electric, Inc.</t>
  </si>
  <si>
    <t>Consolidated Edison Solutions</t>
  </si>
  <si>
    <t>Constellation New Energy, Inc.</t>
  </si>
  <si>
    <t>CT Gas &amp; Electric</t>
  </si>
  <si>
    <t>Direct Energy Business</t>
  </si>
  <si>
    <t>Direct Energy Service</t>
  </si>
  <si>
    <t>Discount Power</t>
  </si>
  <si>
    <t>Energy Plus</t>
  </si>
  <si>
    <t>Engie Energy Resources Inc. (F/K/A Suez Energy Resources NA)</t>
  </si>
  <si>
    <t>Hiko Energy</t>
  </si>
  <si>
    <t>Major Energy Electric Services LLC</t>
  </si>
  <si>
    <t>Mega Energy</t>
  </si>
  <si>
    <t>Mint Energy</t>
  </si>
  <si>
    <t>North American Power</t>
  </si>
  <si>
    <t>Perigee Energy</t>
  </si>
  <si>
    <t>Public Power &amp; Utility, Inc.</t>
  </si>
  <si>
    <t>Spark Energy</t>
  </si>
  <si>
    <t>Starion Energy</t>
  </si>
  <si>
    <t>Sunwave Gas &amp; Power CT</t>
  </si>
  <si>
    <t>Texas Retail</t>
  </si>
  <si>
    <t>TransCanada</t>
  </si>
  <si>
    <t>Verde Energy</t>
  </si>
  <si>
    <t>Viridian Energy</t>
  </si>
  <si>
    <t>Xoom Energy</t>
  </si>
  <si>
    <t>BP Energy Company</t>
  </si>
  <si>
    <t>Calpine Energy Solutions, LLC  ((F/K/A Noble)</t>
  </si>
  <si>
    <t>Constellation (F/K/A MX Energy)</t>
  </si>
  <si>
    <t>Eligo Energy</t>
  </si>
  <si>
    <t>Everyday Energy, LLC</t>
  </si>
  <si>
    <t>Exelon Generation Company LLC</t>
  </si>
  <si>
    <t>Integrys Energy Services, Inc.</t>
  </si>
  <si>
    <t>National Gas &amp; Electic</t>
  </si>
  <si>
    <t>Nextera (F/K/A Gexa Energy Connecticut, LLC)</t>
  </si>
  <si>
    <t>Reliant Energy</t>
  </si>
  <si>
    <t>Town Square Energy (F/K/A Community Power)</t>
  </si>
  <si>
    <t>Totals</t>
  </si>
  <si>
    <t>Data as of January 31, 2017</t>
  </si>
  <si>
    <t>EDF Energy</t>
  </si>
  <si>
    <t>Ethical Electric</t>
  </si>
  <si>
    <t>Great Eastern Energy</t>
  </si>
  <si>
    <t>Liberty Power Delaware</t>
  </si>
  <si>
    <t>South Jersey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</si>
</sst>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2" xfId="3" applyNumberFormat="1" applyFont="1" applyFill="1" applyBorder="1" applyAlignment="1" applyProtection="1">
      <protection locked="0"/>
    </xf>
    <xf numFmtId="0" fontId="1" fillId="0" borderId="0" xfId="3" applyFont="1" applyFill="1" applyProtection="1"/>
    <xf numFmtId="3" fontId="1" fillId="0" borderId="11" xfId="3" applyNumberFormat="1" applyFont="1" applyFill="1" applyBorder="1" applyAlignment="1" applyProtection="1">
      <protection locked="0"/>
    </xf>
    <xf numFmtId="3" fontId="11" fillId="0" borderId="2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1_January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01_January_2018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78058.338000000047</v>
          </cell>
        </row>
        <row r="25">
          <cell r="H25">
            <v>164876.94200000088</v>
          </cell>
        </row>
        <row r="26">
          <cell r="H26">
            <v>49318.570999999996</v>
          </cell>
        </row>
        <row r="29">
          <cell r="H29">
            <v>140532.98499999999</v>
          </cell>
        </row>
        <row r="30">
          <cell r="H30">
            <v>44254.891000000025</v>
          </cell>
        </row>
        <row r="31">
          <cell r="H31">
            <v>6396.4290000000001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98127</v>
          </cell>
        </row>
        <row r="19">
          <cell r="B19">
            <v>21339</v>
          </cell>
        </row>
        <row r="20">
          <cell r="B20">
            <v>216</v>
          </cell>
        </row>
        <row r="22">
          <cell r="B22">
            <v>204332</v>
          </cell>
        </row>
        <row r="23">
          <cell r="B23">
            <v>17712</v>
          </cell>
        </row>
        <row r="24">
          <cell r="B24">
            <v>23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14.33203125" style="2" customWidth="1"/>
    <col min="9" max="9" width="11.6640625" style="2" customWidth="1"/>
    <col min="10" max="16384" width="9.109375" style="2"/>
  </cols>
  <sheetData>
    <row r="1" spans="1:15" s="8" customFormat="1" ht="18" customHeight="1" x14ac:dyDescent="0.25">
      <c r="A1" s="23" t="s">
        <v>0</v>
      </c>
      <c r="B1" s="24"/>
      <c r="C1" s="24"/>
      <c r="D1" s="24"/>
      <c r="E1" s="24"/>
      <c r="F1" s="24"/>
      <c r="G1" s="25"/>
      <c r="H1" s="26"/>
      <c r="I1" s="26"/>
    </row>
    <row r="2" spans="1:15" s="8" customFormat="1" ht="18" customHeight="1" x14ac:dyDescent="0.25">
      <c r="A2" s="23" t="s">
        <v>57</v>
      </c>
      <c r="B2" s="24"/>
      <c r="C2" s="24"/>
      <c r="D2" s="24"/>
      <c r="E2" s="24"/>
      <c r="F2" s="24"/>
      <c r="G2" s="25"/>
      <c r="H2" s="26"/>
      <c r="I2" s="26"/>
    </row>
    <row r="3" spans="1:15" s="8" customFormat="1" ht="18" customHeight="1" x14ac:dyDescent="0.25">
      <c r="A3" s="23" t="s">
        <v>34</v>
      </c>
      <c r="B3" s="24"/>
      <c r="C3" s="24"/>
      <c r="D3" s="24"/>
      <c r="E3" s="24"/>
      <c r="F3" s="24"/>
      <c r="G3" s="25"/>
      <c r="H3" s="26"/>
      <c r="I3" s="26"/>
    </row>
    <row r="4" spans="1:15" s="8" customFormat="1" ht="18" customHeight="1" x14ac:dyDescent="0.25">
      <c r="A4" s="23" t="s">
        <v>27</v>
      </c>
      <c r="B4" s="24"/>
      <c r="C4" s="24"/>
      <c r="D4" s="24"/>
      <c r="E4" s="24"/>
      <c r="F4" s="24"/>
      <c r="G4" s="25"/>
      <c r="H4" s="26"/>
      <c r="I4" s="26"/>
    </row>
    <row r="5" spans="1:15" s="8" customFormat="1" ht="18" customHeight="1" x14ac:dyDescent="0.25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15" s="8" customFormat="1" ht="18" customHeight="1" x14ac:dyDescent="0.25">
      <c r="A6" s="22" t="s">
        <v>99</v>
      </c>
      <c r="B6" s="26"/>
      <c r="C6" s="26"/>
      <c r="D6" s="71"/>
      <c r="E6" s="71"/>
      <c r="F6" s="71"/>
      <c r="G6" s="26"/>
      <c r="H6" s="26"/>
      <c r="I6" s="26"/>
    </row>
    <row r="8" spans="1:15" ht="18" customHeight="1" x14ac:dyDescent="0.25">
      <c r="A8" s="29" t="s">
        <v>30</v>
      </c>
      <c r="B8" s="30"/>
      <c r="C8" s="30"/>
      <c r="D8" s="30"/>
      <c r="E8" s="30"/>
      <c r="F8" s="30"/>
      <c r="G8" s="31"/>
      <c r="H8" s="26"/>
      <c r="I8" s="26"/>
    </row>
    <row r="9" spans="1:15" s="36" customFormat="1" ht="18" customHeight="1" x14ac:dyDescent="0.25">
      <c r="A9" s="2"/>
      <c r="B9" s="32" t="s">
        <v>31</v>
      </c>
      <c r="C9" s="33"/>
      <c r="D9" s="32" t="s">
        <v>8</v>
      </c>
      <c r="E9" s="34"/>
      <c r="F9" s="32" t="s">
        <v>9</v>
      </c>
      <c r="G9" s="35"/>
      <c r="H9" s="32" t="s">
        <v>33</v>
      </c>
      <c r="I9" s="34"/>
    </row>
    <row r="10" spans="1:15" ht="18" customHeight="1" x14ac:dyDescent="0.25">
      <c r="A10" s="37"/>
      <c r="B10" s="38" t="s">
        <v>10</v>
      </c>
      <c r="C10" s="39" t="s">
        <v>20</v>
      </c>
      <c r="D10" s="38" t="str">
        <f>B10</f>
        <v>MWh</v>
      </c>
      <c r="E10" s="39" t="s">
        <v>20</v>
      </c>
      <c r="F10" s="38" t="str">
        <f>D10</f>
        <v>MWh</v>
      </c>
      <c r="G10" s="39" t="s">
        <v>20</v>
      </c>
      <c r="H10" s="38" t="str">
        <f>F10</f>
        <v>MWh</v>
      </c>
      <c r="I10" s="39" t="s">
        <v>19</v>
      </c>
    </row>
    <row r="11" spans="1:15" ht="18" customHeight="1" x14ac:dyDescent="0.25">
      <c r="A11" s="40" t="s">
        <v>11</v>
      </c>
      <c r="B11" s="69">
        <f>[1]Check!$H$24</f>
        <v>78058.338000000047</v>
      </c>
      <c r="C11" s="41">
        <f>IF(B11=0,0,B11/$B$13)</f>
        <v>0.35709714790463132</v>
      </c>
      <c r="D11" s="69">
        <f>[1]Check!$H$25</f>
        <v>164876.94200000088</v>
      </c>
      <c r="E11" s="41">
        <f>IF(D11=0,0,D11/$D$13)</f>
        <v>0.78838759090300792</v>
      </c>
      <c r="F11" s="69">
        <f>[1]Check!$H$26</f>
        <v>49318.570999999996</v>
      </c>
      <c r="G11" s="41">
        <f>IF(F11=0,0,F11/$F$13)</f>
        <v>0.88519377187471948</v>
      </c>
      <c r="H11" s="42">
        <f>IF(B11+D11+F11=0,0,B11+D11+F11)</f>
        <v>292253.85100000096</v>
      </c>
      <c r="I11" s="41">
        <f>IF(H11=0,0,H11/$H$13)</f>
        <v>0.6045320324281569</v>
      </c>
    </row>
    <row r="12" spans="1:15" ht="18" customHeight="1" x14ac:dyDescent="0.25">
      <c r="A12" s="40" t="s">
        <v>12</v>
      </c>
      <c r="B12" s="70">
        <f>[1]Check!$H$29</f>
        <v>140532.98499999999</v>
      </c>
      <c r="C12" s="41">
        <f>IF(B12=0,0,B12/$B$13)</f>
        <v>0.64290285209536868</v>
      </c>
      <c r="D12" s="70">
        <f>[1]Check!$H$30</f>
        <v>44254.891000000025</v>
      </c>
      <c r="E12" s="41">
        <f>IF(D12=0,0,D12/$D$13)</f>
        <v>0.21161240909699208</v>
      </c>
      <c r="F12" s="70">
        <f>[1]Check!$H$31</f>
        <v>6396.4290000000001</v>
      </c>
      <c r="G12" s="41">
        <f>IF(F12=0,0,F12/$F$13)</f>
        <v>0.11480622812528045</v>
      </c>
      <c r="H12" s="103">
        <f>IF(B12+D12+F12=0,0,B12+D12+F12)</f>
        <v>191184.30500000002</v>
      </c>
      <c r="I12" s="41">
        <f>IF(H12=0,0,H12/$H$13)</f>
        <v>0.3954679675718431</v>
      </c>
    </row>
    <row r="13" spans="1:15" ht="18" customHeight="1" x14ac:dyDescent="0.25">
      <c r="A13" s="108" t="s">
        <v>7</v>
      </c>
      <c r="B13" s="43">
        <f>SUM(B11:B12)</f>
        <v>218591.32300000003</v>
      </c>
      <c r="C13" s="44"/>
      <c r="D13" s="43">
        <f>SUM(D11:D12)</f>
        <v>209131.83300000092</v>
      </c>
      <c r="E13" s="44"/>
      <c r="F13" s="43">
        <f>SUM(F11:F12)</f>
        <v>55715</v>
      </c>
      <c r="G13" s="44"/>
      <c r="H13" s="43">
        <f>IF(H11+H12=0,0,H11+H12)</f>
        <v>483438.15600000101</v>
      </c>
      <c r="I13" s="45"/>
    </row>
    <row r="14" spans="1:15" ht="18" customHeight="1" x14ac:dyDescent="0.25">
      <c r="A14" s="100" t="str">
        <f>"As the above table shows, "&amp;TEXT(H11,"0,000")&amp; " MWh, or "&amp;TEXT(I11,"0.0%")&amp;" of UI's total load is served by electric suppliers"</f>
        <v>As the above table shows, 292,254 MWh, or 60.5% of UI's total load is served by electric suppliers</v>
      </c>
      <c r="H14" s="28"/>
      <c r="L14" s="102"/>
      <c r="M14" s="102"/>
      <c r="O14" s="102"/>
    </row>
    <row r="15" spans="1:15" ht="18" customHeight="1" x14ac:dyDescent="0.25">
      <c r="A15" s="100" t="str">
        <f>"while "&amp;TEXT(H12,"0,000")&amp;" MHh, or "&amp;TEXT(I12,"0.0%")&amp;" of the load is provided under Standard Service or Last Resort service through UI."</f>
        <v>while 191,184 MHh, or 39.5% of the load is provided under Standard Service or Last Resort service through UI.</v>
      </c>
      <c r="B15" s="47"/>
      <c r="C15" s="48"/>
      <c r="D15" s="47"/>
      <c r="E15" s="48"/>
      <c r="F15" s="49"/>
      <c r="G15" s="50"/>
      <c r="H15" s="28"/>
    </row>
    <row r="16" spans="1:15" ht="13.8" x14ac:dyDescent="0.25">
      <c r="G16" s="50"/>
      <c r="H16" s="28"/>
    </row>
    <row r="17" spans="1:17" ht="18" customHeight="1" x14ac:dyDescent="0.25">
      <c r="A17" s="29" t="s">
        <v>29</v>
      </c>
      <c r="B17" s="30"/>
      <c r="C17" s="30"/>
      <c r="D17" s="30"/>
      <c r="E17" s="30"/>
      <c r="F17" s="30"/>
      <c r="G17" s="51"/>
      <c r="H17" s="25"/>
      <c r="I17" s="26"/>
    </row>
    <row r="18" spans="1:17" ht="18" customHeight="1" x14ac:dyDescent="0.25">
      <c r="A18" s="40"/>
      <c r="B18" s="32" t="s">
        <v>31</v>
      </c>
      <c r="C18" s="52"/>
      <c r="D18" s="32" t="s">
        <v>8</v>
      </c>
      <c r="E18" s="53"/>
      <c r="F18" s="32" t="s">
        <v>9</v>
      </c>
      <c r="G18" s="35"/>
      <c r="H18" s="32" t="s">
        <v>33</v>
      </c>
      <c r="I18" s="34"/>
      <c r="O18" s="101"/>
    </row>
    <row r="19" spans="1:17" ht="18" customHeight="1" x14ac:dyDescent="0.25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D19</f>
        <v>Customers</v>
      </c>
      <c r="G19" s="39" t="s">
        <v>20</v>
      </c>
      <c r="H19" s="38" t="str">
        <f>F19</f>
        <v>Customers</v>
      </c>
      <c r="I19" s="39" t="s">
        <v>19</v>
      </c>
    </row>
    <row r="20" spans="1:17" ht="18" customHeight="1" x14ac:dyDescent="0.25">
      <c r="A20" s="40" t="str">
        <f>A11</f>
        <v>Suppliers</v>
      </c>
      <c r="B20" s="69">
        <f>[2]Summary!$B$18</f>
        <v>98127</v>
      </c>
      <c r="C20" s="41">
        <f>IF(B20=0,0,B20/$B$22)</f>
        <v>0.32443074929163951</v>
      </c>
      <c r="D20" s="69">
        <f>[2]Summary!$B$19</f>
        <v>21339</v>
      </c>
      <c r="E20" s="54">
        <f>IF(D20=0,0,D20/$D$22)</f>
        <v>0.54643927172159479</v>
      </c>
      <c r="F20" s="69">
        <f>[2]Summary!$B$20</f>
        <v>216</v>
      </c>
      <c r="G20" s="41">
        <f>IF(F20=0,0,F20/$F$22)</f>
        <v>0.90376569037656906</v>
      </c>
      <c r="H20" s="42">
        <f>IF(B20+D20+F20=0,0,B20+D20+F20)</f>
        <v>119682</v>
      </c>
      <c r="I20" s="41">
        <f>IF(H20=0,0,H20/$H$22)</f>
        <v>0.35020438977144042</v>
      </c>
      <c r="J20" s="55"/>
      <c r="M20" s="102"/>
    </row>
    <row r="21" spans="1:17" ht="18" customHeight="1" x14ac:dyDescent="0.25">
      <c r="A21" s="40" t="str">
        <f>A12</f>
        <v>UI</v>
      </c>
      <c r="B21" s="70">
        <f>[2]Summary!$B$22</f>
        <v>204332</v>
      </c>
      <c r="C21" s="41">
        <f>IF(B21=0,0,B21/$B$22)</f>
        <v>0.67556925070836049</v>
      </c>
      <c r="D21" s="70">
        <f>[2]Summary!$B$23</f>
        <v>17712</v>
      </c>
      <c r="E21" s="54">
        <f>IF(D21=0,0,D21/$D$22)</f>
        <v>0.45356072827840516</v>
      </c>
      <c r="F21" s="70">
        <f>[2]Summary!$B$24</f>
        <v>23</v>
      </c>
      <c r="G21" s="41">
        <f>IF(F21=0,0,F21/$F$22)</f>
        <v>9.6234309623430964E-2</v>
      </c>
      <c r="H21" s="70">
        <f>IF(B21+D21+F21=0,0,B21+D21+F21)</f>
        <v>222067</v>
      </c>
      <c r="I21" s="41">
        <f>IF(H21=0,0,H21/$H$22)</f>
        <v>0.64979561022855958</v>
      </c>
    </row>
    <row r="22" spans="1:17" ht="18" customHeight="1" x14ac:dyDescent="0.25">
      <c r="A22" s="40" t="str">
        <f>A13</f>
        <v>Total</v>
      </c>
      <c r="B22" s="43">
        <f>SUM(B20:B21)</f>
        <v>302459</v>
      </c>
      <c r="C22" s="56"/>
      <c r="D22" s="43">
        <f>SUM(D20:D21)</f>
        <v>39051</v>
      </c>
      <c r="E22" s="44"/>
      <c r="F22" s="43">
        <f>SUM(F20:F21)</f>
        <v>239</v>
      </c>
      <c r="G22" s="44"/>
      <c r="H22" s="43">
        <f>IF(H20+H21=0,0,H20+H21)</f>
        <v>341749</v>
      </c>
      <c r="I22" s="45"/>
      <c r="N22" s="102"/>
      <c r="Q22" s="102"/>
    </row>
    <row r="23" spans="1:17" ht="18" customHeight="1" x14ac:dyDescent="0.25">
      <c r="G23" s="50"/>
      <c r="H23" s="28"/>
    </row>
    <row r="24" spans="1:17" ht="18" customHeight="1" x14ac:dyDescent="0.25">
      <c r="A24" s="100" t="str">
        <f>"As the above table shows, "&amp;TEXT(H20,"0,000")&amp; " of UI's total customers, or "&amp;TEXT(I20,"0.0%")&amp;" are served by electric suppliers"</f>
        <v>As the above table shows, 119,682 of UI's total customers, or 35.0% are served by electric suppliers</v>
      </c>
      <c r="G24" s="50"/>
      <c r="H24" s="28"/>
      <c r="J24" s="102"/>
    </row>
    <row r="25" spans="1:17" ht="18" customHeight="1" x14ac:dyDescent="0.25">
      <c r="A25" s="100" t="str">
        <f>"while "&amp;TEXT(H21,"0,000")&amp;" or "&amp;TEXT(I21,"0.0%")&amp;" of the customers continue to receive Standard Service or Last Resort service through UI."</f>
        <v>while 222,067 or 65.0% of the customers continue to receive Standard Service or Last Resort service through UI.</v>
      </c>
      <c r="B25" s="57"/>
      <c r="C25" s="57"/>
      <c r="D25" s="57"/>
      <c r="E25" s="57"/>
      <c r="F25" s="58"/>
      <c r="G25" s="59"/>
      <c r="H25" s="28"/>
    </row>
    <row r="26" spans="1:17" ht="18" customHeight="1" x14ac:dyDescent="0.25">
      <c r="B26" s="28"/>
      <c r="C26" s="28"/>
      <c r="D26" s="59"/>
      <c r="E26" s="59"/>
      <c r="F26" s="60"/>
      <c r="G26" s="60"/>
      <c r="H26" s="28"/>
    </row>
    <row r="28" spans="1:17" ht="13.8" x14ac:dyDescent="0.25">
      <c r="A28" s="67" t="s">
        <v>28</v>
      </c>
      <c r="I28" s="102"/>
    </row>
    <row r="29" spans="1:17" ht="13.8" x14ac:dyDescent="0.25">
      <c r="A29" s="67" t="s">
        <v>32</v>
      </c>
    </row>
    <row r="30" spans="1:17" ht="13.8" x14ac:dyDescent="0.25">
      <c r="A30" s="67" t="s">
        <v>50</v>
      </c>
    </row>
    <row r="31" spans="1:17" x14ac:dyDescent="0.25">
      <c r="A31" s="68" t="s">
        <v>18</v>
      </c>
    </row>
    <row r="32" spans="1:17" x14ac:dyDescent="0.25">
      <c r="A32" s="68" t="s">
        <v>24</v>
      </c>
    </row>
    <row r="36" spans="1:1" x14ac:dyDescent="0.25">
      <c r="A36" s="102"/>
    </row>
  </sheetData>
  <phoneticPr fontId="0" type="noConversion"/>
  <printOptions horizontalCentered="1"/>
  <pageMargins left="0.75" right="0.5" top="1.5" bottom="0.75" header="0.5" footer="0"/>
  <pageSetup scale="75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showZeros="0" zoomScaleNormal="100" workbookViewId="0"/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2"/>
  </cols>
  <sheetData>
    <row r="1" spans="1:11" s="8" customFormat="1" ht="18" customHeight="1" x14ac:dyDescent="0.25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5">
      <c r="A2" s="119" t="s">
        <v>57</v>
      </c>
      <c r="B2" s="119"/>
      <c r="C2" s="119"/>
      <c r="D2" s="119"/>
      <c r="E2" s="119"/>
      <c r="F2" s="119"/>
      <c r="G2" s="25"/>
      <c r="H2" s="26"/>
      <c r="I2" s="26"/>
    </row>
    <row r="3" spans="1:11" s="8" customFormat="1" ht="18" customHeight="1" x14ac:dyDescent="0.25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5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5">
      <c r="A5" s="9" t="str">
        <f>'Summary Load Customers '!A6</f>
        <v>Data as of January 31, 2017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5">
      <c r="A6" s="15"/>
      <c r="B6" s="5"/>
      <c r="C6" s="16"/>
      <c r="D6" s="16"/>
      <c r="E6" s="10"/>
      <c r="F6" s="10"/>
    </row>
    <row r="7" spans="1:11" s="8" customFormat="1" ht="18" customHeight="1" x14ac:dyDescent="0.25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6.4" x14ac:dyDescent="0.2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 x14ac:dyDescent="0.25">
      <c r="A9" s="106">
        <v>1</v>
      </c>
      <c r="B9" s="111" t="s">
        <v>60</v>
      </c>
      <c r="C9" s="112">
        <v>324</v>
      </c>
      <c r="D9" s="112">
        <v>288</v>
      </c>
      <c r="E9" s="113">
        <v>612</v>
      </c>
      <c r="F9" s="21">
        <f>IF(E9=0,"",E9/$E$59)</f>
        <v>5.1051051051051047E-3</v>
      </c>
    </row>
    <row r="10" spans="1:11" ht="14.25" customHeight="1" x14ac:dyDescent="0.25">
      <c r="A10" s="106">
        <v>2</v>
      </c>
      <c r="B10" s="111" t="s">
        <v>58</v>
      </c>
      <c r="C10" s="112">
        <v>584</v>
      </c>
      <c r="D10" s="112">
        <v>747</v>
      </c>
      <c r="E10" s="113">
        <v>1331</v>
      </c>
      <c r="F10" s="21">
        <f t="shared" ref="F10:F58" si="0">IF(E10=0,"",E10/$E$59)</f>
        <v>1.1102769436102769E-2</v>
      </c>
    </row>
    <row r="11" spans="1:11" ht="14.25" customHeight="1" x14ac:dyDescent="0.25">
      <c r="A11" s="106">
        <v>3</v>
      </c>
      <c r="B11" s="111" t="s">
        <v>51</v>
      </c>
      <c r="C11" s="112">
        <v>11970</v>
      </c>
      <c r="D11" s="112">
        <v>759</v>
      </c>
      <c r="E11" s="113">
        <v>12729</v>
      </c>
      <c r="F11" s="21">
        <f t="shared" si="0"/>
        <v>0.10618118118118118</v>
      </c>
    </row>
    <row r="12" spans="1:11" ht="14.25" customHeight="1" x14ac:dyDescent="0.25">
      <c r="A12" s="106">
        <v>4</v>
      </c>
      <c r="B12" s="111" t="s">
        <v>59</v>
      </c>
      <c r="C12" s="112">
        <v>0</v>
      </c>
      <c r="D12" s="112">
        <v>14</v>
      </c>
      <c r="E12" s="113">
        <v>14</v>
      </c>
      <c r="F12" s="21">
        <f t="shared" si="0"/>
        <v>1.1678345011678346E-4</v>
      </c>
    </row>
    <row r="13" spans="1:11" ht="14.25" customHeight="1" x14ac:dyDescent="0.25">
      <c r="A13" s="106">
        <v>5</v>
      </c>
      <c r="B13" s="114" t="s">
        <v>55</v>
      </c>
      <c r="C13" s="112">
        <v>50</v>
      </c>
      <c r="D13" s="112">
        <v>187</v>
      </c>
      <c r="E13" s="113">
        <v>237</v>
      </c>
      <c r="F13" s="21">
        <f t="shared" si="0"/>
        <v>1.9769769769769768E-3</v>
      </c>
    </row>
    <row r="14" spans="1:11" ht="14.25" customHeight="1" x14ac:dyDescent="0.25">
      <c r="A14" s="106">
        <v>6</v>
      </c>
      <c r="B14" s="115" t="s">
        <v>87</v>
      </c>
      <c r="C14" s="112">
        <v>263</v>
      </c>
      <c r="D14" s="112">
        <v>101</v>
      </c>
      <c r="E14" s="113">
        <v>364</v>
      </c>
      <c r="F14" s="21">
        <f t="shared" si="0"/>
        <v>3.0363697030363697E-3</v>
      </c>
    </row>
    <row r="15" spans="1:11" ht="14.25" customHeight="1" x14ac:dyDescent="0.25">
      <c r="A15" s="106">
        <v>7</v>
      </c>
      <c r="B15" s="111" t="s">
        <v>88</v>
      </c>
      <c r="C15" s="112">
        <v>17</v>
      </c>
      <c r="D15" s="112">
        <v>3050</v>
      </c>
      <c r="E15" s="113">
        <v>3067</v>
      </c>
      <c r="F15" s="21">
        <f t="shared" si="0"/>
        <v>2.5583917250583916E-2</v>
      </c>
    </row>
    <row r="16" spans="1:11" ht="14.25" customHeight="1" x14ac:dyDescent="0.25">
      <c r="A16" s="106">
        <v>8</v>
      </c>
      <c r="B16" s="115" t="s">
        <v>61</v>
      </c>
      <c r="C16" s="112">
        <v>10</v>
      </c>
      <c r="D16" s="112">
        <v>32</v>
      </c>
      <c r="E16" s="113">
        <v>42</v>
      </c>
      <c r="F16" s="21">
        <f t="shared" si="0"/>
        <v>3.5035035035035033E-4</v>
      </c>
    </row>
    <row r="17" spans="1:6" ht="14.25" customHeight="1" x14ac:dyDescent="0.25">
      <c r="A17" s="106">
        <v>9</v>
      </c>
      <c r="B17" s="111" t="s">
        <v>62</v>
      </c>
      <c r="C17" s="112">
        <v>706</v>
      </c>
      <c r="D17" s="112">
        <v>18</v>
      </c>
      <c r="E17" s="113">
        <v>724</v>
      </c>
      <c r="F17" s="21">
        <f t="shared" si="0"/>
        <v>6.0393727060393731E-3</v>
      </c>
    </row>
    <row r="18" spans="1:6" ht="14.25" customHeight="1" x14ac:dyDescent="0.25">
      <c r="A18" s="106">
        <v>10</v>
      </c>
      <c r="B18" s="111" t="s">
        <v>63</v>
      </c>
      <c r="C18" s="112">
        <v>9465</v>
      </c>
      <c r="D18" s="112">
        <v>358</v>
      </c>
      <c r="E18" s="113">
        <v>9823</v>
      </c>
      <c r="F18" s="21">
        <f t="shared" si="0"/>
        <v>8.194027360694027E-2</v>
      </c>
    </row>
    <row r="19" spans="1:6" ht="14.25" customHeight="1" x14ac:dyDescent="0.25">
      <c r="A19" s="106">
        <v>11</v>
      </c>
      <c r="B19" s="111" t="s">
        <v>64</v>
      </c>
      <c r="C19" s="112">
        <v>12</v>
      </c>
      <c r="D19" s="112">
        <v>50</v>
      </c>
      <c r="E19" s="113">
        <v>62</v>
      </c>
      <c r="F19" s="21">
        <f t="shared" si="0"/>
        <v>5.1718385051718386E-4</v>
      </c>
    </row>
    <row r="20" spans="1:6" ht="14.25" customHeight="1" x14ac:dyDescent="0.25">
      <c r="A20" s="106">
        <v>12</v>
      </c>
      <c r="B20" s="111" t="s">
        <v>89</v>
      </c>
      <c r="C20" s="112">
        <v>23</v>
      </c>
      <c r="D20" s="112">
        <v>1</v>
      </c>
      <c r="E20" s="113">
        <v>24</v>
      </c>
      <c r="F20" s="21">
        <f t="shared" si="0"/>
        <v>2.0020020020020021E-4</v>
      </c>
    </row>
    <row r="21" spans="1:6" ht="14.25" customHeight="1" x14ac:dyDescent="0.25">
      <c r="A21" s="106">
        <v>13</v>
      </c>
      <c r="B21" s="111" t="s">
        <v>65</v>
      </c>
      <c r="C21" s="112">
        <v>0</v>
      </c>
      <c r="D21" s="112">
        <v>714</v>
      </c>
      <c r="E21" s="113">
        <v>714</v>
      </c>
      <c r="F21" s="21">
        <f t="shared" si="0"/>
        <v>5.9559559559559556E-3</v>
      </c>
    </row>
    <row r="22" spans="1:6" ht="14.25" customHeight="1" x14ac:dyDescent="0.25">
      <c r="A22" s="106">
        <v>14</v>
      </c>
      <c r="B22" s="111" t="s">
        <v>65</v>
      </c>
      <c r="C22" s="112">
        <v>670</v>
      </c>
      <c r="D22" s="112">
        <v>3884</v>
      </c>
      <c r="E22" s="113">
        <v>4554</v>
      </c>
      <c r="F22" s="21">
        <f t="shared" si="0"/>
        <v>3.7987987987987991E-2</v>
      </c>
    </row>
    <row r="23" spans="1:6" ht="14.25" customHeight="1" x14ac:dyDescent="0.25">
      <c r="A23" s="106">
        <v>15</v>
      </c>
      <c r="B23" s="111" t="s">
        <v>66</v>
      </c>
      <c r="C23" s="112">
        <v>747</v>
      </c>
      <c r="D23" s="112">
        <v>105</v>
      </c>
      <c r="E23" s="113">
        <v>852</v>
      </c>
      <c r="F23" s="21">
        <f t="shared" si="0"/>
        <v>7.1071071071071067E-3</v>
      </c>
    </row>
    <row r="24" spans="1:6" ht="14.25" customHeight="1" x14ac:dyDescent="0.25">
      <c r="A24" s="106">
        <v>16</v>
      </c>
      <c r="B24" s="111" t="s">
        <v>67</v>
      </c>
      <c r="C24" s="112">
        <v>100</v>
      </c>
      <c r="D24" s="112">
        <v>1497</v>
      </c>
      <c r="E24" s="113">
        <v>1597</v>
      </c>
      <c r="F24" s="21">
        <f t="shared" si="0"/>
        <v>1.3321654988321654E-2</v>
      </c>
    </row>
    <row r="25" spans="1:6" ht="14.25" customHeight="1" x14ac:dyDescent="0.25">
      <c r="A25" s="106">
        <v>17</v>
      </c>
      <c r="B25" s="111" t="s">
        <v>68</v>
      </c>
      <c r="C25" s="112">
        <v>9634</v>
      </c>
      <c r="D25" s="112">
        <v>2888</v>
      </c>
      <c r="E25" s="113">
        <v>12522</v>
      </c>
      <c r="F25" s="21">
        <f t="shared" si="0"/>
        <v>0.10445445445445445</v>
      </c>
    </row>
    <row r="26" spans="1:6" ht="14.25" customHeight="1" x14ac:dyDescent="0.25">
      <c r="A26" s="106">
        <v>18</v>
      </c>
      <c r="B26" s="115" t="s">
        <v>69</v>
      </c>
      <c r="C26" s="112">
        <v>4336</v>
      </c>
      <c r="D26" s="112">
        <v>308</v>
      </c>
      <c r="E26" s="113">
        <v>4644</v>
      </c>
      <c r="F26" s="21">
        <f t="shared" si="0"/>
        <v>3.8738738738738739E-2</v>
      </c>
    </row>
    <row r="27" spans="1:6" ht="14.25" customHeight="1" x14ac:dyDescent="0.25">
      <c r="A27" s="106">
        <v>19</v>
      </c>
      <c r="B27" s="116" t="s">
        <v>100</v>
      </c>
      <c r="C27" s="112">
        <v>1</v>
      </c>
      <c r="D27" s="112">
        <v>0</v>
      </c>
      <c r="E27" s="113">
        <v>1</v>
      </c>
      <c r="F27" s="21">
        <f t="shared" si="0"/>
        <v>8.3416750083416754E-6</v>
      </c>
    </row>
    <row r="28" spans="1:6" ht="14.25" customHeight="1" x14ac:dyDescent="0.25">
      <c r="A28" s="106">
        <v>20</v>
      </c>
      <c r="B28" s="115" t="s">
        <v>90</v>
      </c>
      <c r="C28" s="112">
        <v>5</v>
      </c>
      <c r="D28" s="112">
        <v>8</v>
      </c>
      <c r="E28" s="113">
        <v>13</v>
      </c>
      <c r="F28" s="21">
        <f t="shared" si="0"/>
        <v>1.0844177510844177E-4</v>
      </c>
    </row>
    <row r="29" spans="1:6" ht="14.25" customHeight="1" x14ac:dyDescent="0.25">
      <c r="A29" s="106">
        <v>21</v>
      </c>
      <c r="B29" s="111" t="s">
        <v>70</v>
      </c>
      <c r="C29" s="112">
        <v>610</v>
      </c>
      <c r="D29" s="112">
        <v>141</v>
      </c>
      <c r="E29" s="113">
        <v>751</v>
      </c>
      <c r="F29" s="21">
        <f t="shared" si="0"/>
        <v>6.2645979312645978E-3</v>
      </c>
    </row>
    <row r="30" spans="1:6" ht="14.25" customHeight="1" x14ac:dyDescent="0.25">
      <c r="A30" s="106">
        <v>22</v>
      </c>
      <c r="B30" s="115" t="s">
        <v>71</v>
      </c>
      <c r="C30" s="112">
        <v>95</v>
      </c>
      <c r="D30" s="112">
        <v>672</v>
      </c>
      <c r="E30" s="113">
        <v>767</v>
      </c>
      <c r="F30" s="21">
        <f t="shared" si="0"/>
        <v>6.3980647313980647E-3</v>
      </c>
    </row>
    <row r="31" spans="1:6" ht="14.25" customHeight="1" x14ac:dyDescent="0.25">
      <c r="A31" s="106">
        <v>23</v>
      </c>
      <c r="B31" s="115" t="s">
        <v>101</v>
      </c>
      <c r="C31" s="112">
        <v>1</v>
      </c>
      <c r="D31" s="112">
        <v>0</v>
      </c>
      <c r="E31" s="113">
        <v>1</v>
      </c>
      <c r="F31" s="21">
        <f t="shared" si="0"/>
        <v>8.3416750083416754E-6</v>
      </c>
    </row>
    <row r="32" spans="1:6" ht="14.25" customHeight="1" x14ac:dyDescent="0.25">
      <c r="A32" s="106">
        <v>24</v>
      </c>
      <c r="B32" s="111" t="s">
        <v>91</v>
      </c>
      <c r="C32" s="112">
        <v>3</v>
      </c>
      <c r="D32" s="112">
        <v>0</v>
      </c>
      <c r="E32" s="113">
        <v>3</v>
      </c>
      <c r="F32" s="21">
        <f t="shared" si="0"/>
        <v>2.5025025025025026E-5</v>
      </c>
    </row>
    <row r="33" spans="1:6" ht="14.25" customHeight="1" x14ac:dyDescent="0.25">
      <c r="A33" s="106">
        <v>25</v>
      </c>
      <c r="B33" s="111" t="s">
        <v>92</v>
      </c>
      <c r="C33" s="112">
        <v>8523</v>
      </c>
      <c r="D33" s="112">
        <v>897</v>
      </c>
      <c r="E33" s="113">
        <v>9420</v>
      </c>
      <c r="F33" s="21">
        <f t="shared" si="0"/>
        <v>7.8578578578578584E-2</v>
      </c>
    </row>
    <row r="34" spans="1:6" ht="14.25" customHeight="1" x14ac:dyDescent="0.25">
      <c r="A34" s="106">
        <v>26</v>
      </c>
      <c r="B34" s="111" t="s">
        <v>102</v>
      </c>
      <c r="C34" s="112">
        <v>1</v>
      </c>
      <c r="D34" s="112">
        <v>0</v>
      </c>
      <c r="E34" s="113">
        <v>1</v>
      </c>
      <c r="F34" s="21">
        <f t="shared" si="0"/>
        <v>8.3416750083416754E-6</v>
      </c>
    </row>
    <row r="35" spans="1:6" ht="14.25" customHeight="1" x14ac:dyDescent="0.25">
      <c r="A35" s="106">
        <v>27</v>
      </c>
      <c r="B35" s="111" t="s">
        <v>72</v>
      </c>
      <c r="C35" s="112">
        <v>769</v>
      </c>
      <c r="D35" s="112">
        <v>13</v>
      </c>
      <c r="E35" s="113">
        <v>782</v>
      </c>
      <c r="F35" s="21">
        <f t="shared" si="0"/>
        <v>6.5231898565231896E-3</v>
      </c>
    </row>
    <row r="36" spans="1:6" ht="14.25" customHeight="1" x14ac:dyDescent="0.25">
      <c r="A36" s="106">
        <v>28</v>
      </c>
      <c r="B36" s="111" t="s">
        <v>93</v>
      </c>
      <c r="C36" s="112">
        <v>0</v>
      </c>
      <c r="D36" s="112">
        <v>11</v>
      </c>
      <c r="E36" s="113">
        <v>11</v>
      </c>
      <c r="F36" s="21">
        <f t="shared" si="0"/>
        <v>9.1758425091758422E-5</v>
      </c>
    </row>
    <row r="37" spans="1:6" ht="14.25" customHeight="1" x14ac:dyDescent="0.25">
      <c r="A37" s="106">
        <v>29</v>
      </c>
      <c r="B37" s="111" t="s">
        <v>13</v>
      </c>
      <c r="C37" s="112">
        <v>2966</v>
      </c>
      <c r="D37" s="112">
        <v>290</v>
      </c>
      <c r="E37" s="113">
        <v>3256</v>
      </c>
      <c r="F37" s="21">
        <f t="shared" si="0"/>
        <v>2.7160493827160494E-2</v>
      </c>
    </row>
    <row r="38" spans="1:6" ht="14.25" customHeight="1" x14ac:dyDescent="0.25">
      <c r="A38" s="106">
        <v>30</v>
      </c>
      <c r="B38" s="116" t="s">
        <v>103</v>
      </c>
      <c r="C38" s="112">
        <v>1</v>
      </c>
      <c r="D38" s="112">
        <v>0</v>
      </c>
      <c r="E38" s="113">
        <v>1</v>
      </c>
      <c r="F38" s="21">
        <f t="shared" si="0"/>
        <v>8.3416750083416754E-6</v>
      </c>
    </row>
    <row r="39" spans="1:6" ht="14.25" customHeight="1" x14ac:dyDescent="0.25">
      <c r="A39" s="106">
        <v>31</v>
      </c>
      <c r="B39" s="111" t="s">
        <v>73</v>
      </c>
      <c r="C39" s="112">
        <v>388</v>
      </c>
      <c r="D39" s="112">
        <v>8</v>
      </c>
      <c r="E39" s="113">
        <v>396</v>
      </c>
      <c r="F39" s="21">
        <f t="shared" si="0"/>
        <v>3.3033033033033031E-3</v>
      </c>
    </row>
    <row r="40" spans="1:6" ht="14.25" customHeight="1" x14ac:dyDescent="0.25">
      <c r="A40" s="106">
        <v>32</v>
      </c>
      <c r="B40" s="111" t="s">
        <v>74</v>
      </c>
      <c r="C40" s="112">
        <v>202</v>
      </c>
      <c r="D40" s="112">
        <v>112</v>
      </c>
      <c r="E40" s="113">
        <v>314</v>
      </c>
      <c r="F40" s="21">
        <f t="shared" si="0"/>
        <v>2.6192859526192858E-3</v>
      </c>
    </row>
    <row r="41" spans="1:6" ht="14.25" customHeight="1" x14ac:dyDescent="0.25">
      <c r="A41" s="106">
        <v>33</v>
      </c>
      <c r="B41" s="111" t="s">
        <v>75</v>
      </c>
      <c r="C41" s="112">
        <v>0</v>
      </c>
      <c r="D41" s="112">
        <v>64</v>
      </c>
      <c r="E41" s="113">
        <v>64</v>
      </c>
      <c r="F41" s="21">
        <f t="shared" si="0"/>
        <v>5.3386720053386722E-4</v>
      </c>
    </row>
    <row r="42" spans="1:6" ht="14.25" customHeight="1" x14ac:dyDescent="0.25">
      <c r="A42" s="106">
        <v>34</v>
      </c>
      <c r="B42" s="111" t="s">
        <v>94</v>
      </c>
      <c r="C42" s="112">
        <v>671</v>
      </c>
      <c r="D42" s="112">
        <v>21</v>
      </c>
      <c r="E42" s="113">
        <v>692</v>
      </c>
      <c r="F42" s="21">
        <f t="shared" si="0"/>
        <v>5.7724391057724393E-3</v>
      </c>
    </row>
    <row r="43" spans="1:6" ht="14.25" customHeight="1" x14ac:dyDescent="0.25">
      <c r="A43" s="106">
        <v>35</v>
      </c>
      <c r="B43" s="111" t="s">
        <v>95</v>
      </c>
      <c r="C43" s="112">
        <v>244</v>
      </c>
      <c r="D43" s="112">
        <v>524</v>
      </c>
      <c r="E43" s="113">
        <v>768</v>
      </c>
      <c r="F43" s="21">
        <f t="shared" si="0"/>
        <v>6.4064064064064067E-3</v>
      </c>
    </row>
    <row r="44" spans="1:6" ht="14.25" customHeight="1" x14ac:dyDescent="0.25">
      <c r="A44" s="106">
        <v>36</v>
      </c>
      <c r="B44" s="111" t="s">
        <v>76</v>
      </c>
      <c r="C44" s="112">
        <v>9084</v>
      </c>
      <c r="D44" s="112">
        <v>208</v>
      </c>
      <c r="E44" s="113">
        <v>9292</v>
      </c>
      <c r="F44" s="21">
        <f t="shared" si="0"/>
        <v>7.7510844177510849E-2</v>
      </c>
    </row>
    <row r="45" spans="1:6" ht="14.25" customHeight="1" x14ac:dyDescent="0.25">
      <c r="A45" s="106">
        <v>37</v>
      </c>
      <c r="B45" s="111" t="s">
        <v>77</v>
      </c>
      <c r="C45" s="112">
        <v>1443</v>
      </c>
      <c r="D45" s="112">
        <v>98</v>
      </c>
      <c r="E45" s="113">
        <v>1541</v>
      </c>
      <c r="F45" s="21">
        <f t="shared" si="0"/>
        <v>1.2854521187854521E-2</v>
      </c>
    </row>
    <row r="46" spans="1:6" ht="14.25" customHeight="1" x14ac:dyDescent="0.25">
      <c r="A46" s="106">
        <v>38</v>
      </c>
      <c r="B46" s="111" t="s">
        <v>78</v>
      </c>
      <c r="C46" s="112">
        <v>6582</v>
      </c>
      <c r="D46" s="112">
        <v>1039</v>
      </c>
      <c r="E46" s="113">
        <v>7621</v>
      </c>
      <c r="F46" s="21">
        <f t="shared" si="0"/>
        <v>6.357190523857191E-2</v>
      </c>
    </row>
    <row r="47" spans="1:6" ht="14.25" customHeight="1" x14ac:dyDescent="0.25">
      <c r="A47" s="106">
        <v>39</v>
      </c>
      <c r="B47" s="111" t="s">
        <v>96</v>
      </c>
      <c r="C47" s="112">
        <v>1253</v>
      </c>
      <c r="D47" s="112">
        <v>267</v>
      </c>
      <c r="E47" s="113">
        <v>1520</v>
      </c>
      <c r="F47" s="21">
        <f t="shared" si="0"/>
        <v>1.2679346012679346E-2</v>
      </c>
    </row>
    <row r="48" spans="1:6" ht="14.25" customHeight="1" x14ac:dyDescent="0.25">
      <c r="A48" s="106">
        <v>40</v>
      </c>
      <c r="B48" s="111" t="s">
        <v>104</v>
      </c>
      <c r="C48" s="112">
        <v>1</v>
      </c>
      <c r="D48" s="112">
        <v>0</v>
      </c>
      <c r="E48" s="113">
        <v>1</v>
      </c>
      <c r="F48" s="21">
        <f t="shared" si="0"/>
        <v>8.3416750083416754E-6</v>
      </c>
    </row>
    <row r="49" spans="1:10" ht="14.25" customHeight="1" x14ac:dyDescent="0.25">
      <c r="A49" s="106">
        <v>41</v>
      </c>
      <c r="B49" s="111" t="s">
        <v>79</v>
      </c>
      <c r="C49" s="112">
        <v>4749</v>
      </c>
      <c r="D49" s="112">
        <v>898</v>
      </c>
      <c r="E49" s="113">
        <v>5647</v>
      </c>
      <c r="F49" s="21">
        <f t="shared" si="0"/>
        <v>4.7105438772105442E-2</v>
      </c>
    </row>
    <row r="50" spans="1:10" ht="14.25" customHeight="1" x14ac:dyDescent="0.25">
      <c r="A50" s="106">
        <v>42</v>
      </c>
      <c r="B50" s="111" t="s">
        <v>80</v>
      </c>
      <c r="C50" s="112">
        <v>3194</v>
      </c>
      <c r="D50" s="112">
        <v>186</v>
      </c>
      <c r="E50" s="113">
        <v>3380</v>
      </c>
      <c r="F50" s="21">
        <f t="shared" si="0"/>
        <v>2.8194861528194861E-2</v>
      </c>
    </row>
    <row r="51" spans="1:10" x14ac:dyDescent="0.25">
      <c r="A51" s="106">
        <v>43</v>
      </c>
      <c r="B51" s="115" t="s">
        <v>81</v>
      </c>
      <c r="C51" s="112">
        <v>2331</v>
      </c>
      <c r="D51" s="112">
        <v>347</v>
      </c>
      <c r="E51" s="113">
        <v>2678</v>
      </c>
      <c r="F51" s="21">
        <f t="shared" si="0"/>
        <v>2.2339005672339006E-2</v>
      </c>
    </row>
    <row r="52" spans="1:10" x14ac:dyDescent="0.25">
      <c r="A52" s="106">
        <v>44</v>
      </c>
      <c r="B52" s="115" t="s">
        <v>82</v>
      </c>
      <c r="C52" s="112">
        <v>0</v>
      </c>
      <c r="D52" s="112">
        <v>14</v>
      </c>
      <c r="E52" s="113">
        <v>14</v>
      </c>
      <c r="F52" s="21">
        <f t="shared" si="0"/>
        <v>1.1678345011678346E-4</v>
      </c>
      <c r="G52" s="110"/>
    </row>
    <row r="53" spans="1:10" ht="13.8" thickBot="1" x14ac:dyDescent="0.3">
      <c r="A53" s="106">
        <v>45</v>
      </c>
      <c r="B53" s="117" t="s">
        <v>56</v>
      </c>
      <c r="C53" s="112">
        <v>4349</v>
      </c>
      <c r="D53" s="112">
        <v>164</v>
      </c>
      <c r="E53" s="113">
        <v>4513</v>
      </c>
      <c r="F53" s="21">
        <f t="shared" si="0"/>
        <v>3.7645979312645982E-2</v>
      </c>
    </row>
    <row r="54" spans="1:10" ht="13.8" thickTop="1" x14ac:dyDescent="0.25">
      <c r="A54" s="106">
        <v>46</v>
      </c>
      <c r="B54" s="109" t="s">
        <v>97</v>
      </c>
      <c r="C54" s="112">
        <v>5375</v>
      </c>
      <c r="D54" s="112">
        <v>175</v>
      </c>
      <c r="E54" s="113">
        <v>5550</v>
      </c>
      <c r="F54" s="21">
        <f t="shared" si="0"/>
        <v>4.6296296296296294E-2</v>
      </c>
    </row>
    <row r="55" spans="1:10" x14ac:dyDescent="0.25">
      <c r="A55" s="106">
        <v>47</v>
      </c>
      <c r="B55" s="109" t="s">
        <v>83</v>
      </c>
      <c r="C55" s="112">
        <v>0</v>
      </c>
      <c r="D55" s="112">
        <v>68</v>
      </c>
      <c r="E55" s="113">
        <v>68</v>
      </c>
      <c r="F55" s="21">
        <f t="shared" si="0"/>
        <v>5.6723390056723395E-4</v>
      </c>
    </row>
    <row r="56" spans="1:10" x14ac:dyDescent="0.25">
      <c r="A56" s="106">
        <v>48</v>
      </c>
      <c r="B56" s="109" t="s">
        <v>84</v>
      </c>
      <c r="C56" s="112">
        <v>3773</v>
      </c>
      <c r="D56" s="112">
        <v>80</v>
      </c>
      <c r="E56" s="113">
        <v>3853</v>
      </c>
      <c r="F56" s="21">
        <f t="shared" si="0"/>
        <v>3.2140473807140475E-2</v>
      </c>
    </row>
    <row r="57" spans="1:10" x14ac:dyDescent="0.25">
      <c r="A57" s="106">
        <v>49</v>
      </c>
      <c r="B57" s="109" t="s">
        <v>85</v>
      </c>
      <c r="C57" s="112">
        <v>1039</v>
      </c>
      <c r="D57" s="112">
        <v>160</v>
      </c>
      <c r="E57" s="113">
        <v>1199</v>
      </c>
      <c r="F57" s="21">
        <f t="shared" si="0"/>
        <v>1.0001668335001669E-2</v>
      </c>
    </row>
    <row r="58" spans="1:10" x14ac:dyDescent="0.25">
      <c r="A58" s="106">
        <v>50</v>
      </c>
      <c r="B58" s="109" t="s">
        <v>86</v>
      </c>
      <c r="C58" s="112">
        <v>1563</v>
      </c>
      <c r="D58" s="112">
        <v>287</v>
      </c>
      <c r="E58" s="113">
        <v>1850</v>
      </c>
      <c r="F58" s="21">
        <f t="shared" si="0"/>
        <v>1.5432098765432098E-2</v>
      </c>
    </row>
    <row r="59" spans="1:10" x14ac:dyDescent="0.25">
      <c r="A59" s="107"/>
      <c r="B59" s="109" t="s">
        <v>98</v>
      </c>
      <c r="C59" s="112">
        <f>SUM(C9:C58)</f>
        <v>98127</v>
      </c>
      <c r="D59" s="112">
        <f t="shared" ref="D59:F59" si="1">SUM(D9:D58)</f>
        <v>21753</v>
      </c>
      <c r="E59" s="112">
        <f t="shared" si="1"/>
        <v>119880</v>
      </c>
      <c r="F59" s="21">
        <f t="shared" si="1"/>
        <v>1.0000000000000002</v>
      </c>
    </row>
    <row r="60" spans="1:10" x14ac:dyDescent="0.25">
      <c r="A60" s="1" t="s">
        <v>23</v>
      </c>
      <c r="B60" s="104"/>
    </row>
    <row r="61" spans="1:10" x14ac:dyDescent="0.25">
      <c r="A61" s="1" t="s">
        <v>22</v>
      </c>
      <c r="J61" s="105"/>
    </row>
    <row r="62" spans="1:10" x14ac:dyDescent="0.25">
      <c r="A62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7.6640625" style="2" customWidth="1"/>
    <col min="9" max="9" width="11.6640625" style="2" customWidth="1"/>
    <col min="10" max="16384" width="9.109375" style="2"/>
  </cols>
  <sheetData>
    <row r="1" spans="1:9" s="8" customFormat="1" ht="18" customHeight="1" x14ac:dyDescent="0.25">
      <c r="A1" s="23" t="s">
        <v>0</v>
      </c>
      <c r="B1" s="24"/>
      <c r="C1" s="24"/>
      <c r="D1" s="24"/>
      <c r="E1" s="24"/>
      <c r="F1" s="24"/>
      <c r="G1" s="25"/>
      <c r="H1" s="26"/>
      <c r="I1" s="26"/>
    </row>
    <row r="2" spans="1:9" s="8" customFormat="1" ht="18" customHeight="1" x14ac:dyDescent="0.25">
      <c r="A2" s="119" t="s">
        <v>57</v>
      </c>
      <c r="B2" s="119"/>
      <c r="C2" s="119"/>
      <c r="D2" s="119"/>
      <c r="E2" s="119"/>
      <c r="F2" s="119"/>
      <c r="G2" s="119"/>
      <c r="H2" s="119"/>
      <c r="I2" s="26"/>
    </row>
    <row r="3" spans="1:9" s="8" customFormat="1" ht="18" customHeight="1" x14ac:dyDescent="0.25">
      <c r="A3" s="23" t="s">
        <v>49</v>
      </c>
      <c r="B3" s="24"/>
      <c r="C3" s="24"/>
      <c r="D3" s="24"/>
      <c r="E3" s="24"/>
      <c r="F3" s="24"/>
      <c r="G3" s="25"/>
      <c r="H3" s="26"/>
      <c r="I3" s="26"/>
    </row>
    <row r="4" spans="1:9" s="8" customFormat="1" ht="18" customHeight="1" x14ac:dyDescent="0.25">
      <c r="A4" s="23" t="s">
        <v>48</v>
      </c>
      <c r="B4" s="24"/>
      <c r="C4" s="24"/>
      <c r="D4" s="24"/>
      <c r="E4" s="24"/>
      <c r="F4" s="24"/>
      <c r="G4" s="25"/>
      <c r="H4" s="26"/>
      <c r="I4" s="26"/>
    </row>
    <row r="5" spans="1:9" s="8" customFormat="1" ht="18" customHeight="1" x14ac:dyDescent="0.25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9" s="8" customFormat="1" ht="18" customHeight="1" x14ac:dyDescent="0.25">
      <c r="A6" s="9" t="str">
        <f>'Summary Load Customers '!A6</f>
        <v>Data as of January 31, 2017</v>
      </c>
      <c r="B6" s="26"/>
      <c r="C6" s="26"/>
      <c r="D6" s="71"/>
      <c r="E6" s="71"/>
      <c r="F6" s="71"/>
      <c r="G6" s="26"/>
      <c r="H6" s="26"/>
      <c r="I6" s="26"/>
    </row>
    <row r="7" spans="1:9" ht="18" customHeight="1" x14ac:dyDescent="0.25">
      <c r="B7" s="28"/>
      <c r="C7" s="28"/>
      <c r="D7" s="59"/>
      <c r="E7" s="59"/>
      <c r="F7" s="60"/>
      <c r="G7" s="60"/>
      <c r="H7" s="28"/>
    </row>
    <row r="8" spans="1:9" ht="18" customHeight="1" x14ac:dyDescent="0.3">
      <c r="A8" s="61" t="s">
        <v>42</v>
      </c>
      <c r="B8" s="62"/>
      <c r="C8" s="62"/>
      <c r="D8" s="63"/>
      <c r="E8" s="63"/>
      <c r="F8" s="64"/>
      <c r="G8" s="64"/>
      <c r="H8" s="62"/>
      <c r="I8" s="65"/>
    </row>
    <row r="9" spans="1:9" ht="18" customHeight="1" x14ac:dyDescent="0.4">
      <c r="B9" s="28"/>
      <c r="C9" s="28"/>
      <c r="D9" s="59"/>
      <c r="E9" s="59"/>
      <c r="F9" s="66"/>
      <c r="G9" s="66"/>
      <c r="H9" s="28"/>
    </row>
    <row r="10" spans="1:9" ht="18" customHeight="1" x14ac:dyDescent="0.25">
      <c r="A10" s="29" t="s">
        <v>53</v>
      </c>
      <c r="B10" s="30"/>
      <c r="C10" s="30"/>
      <c r="D10" s="30"/>
      <c r="E10" s="30"/>
      <c r="F10" s="30"/>
      <c r="G10" s="51"/>
      <c r="H10" s="25"/>
      <c r="I10" s="26"/>
    </row>
    <row r="11" spans="1:9" ht="18" customHeight="1" x14ac:dyDescent="0.25">
      <c r="A11" s="40"/>
      <c r="B11" s="32" t="s">
        <v>5</v>
      </c>
      <c r="C11" s="52"/>
      <c r="D11" s="32" t="s">
        <v>26</v>
      </c>
      <c r="E11" s="53"/>
      <c r="F11" s="32" t="s">
        <v>33</v>
      </c>
      <c r="G11" s="34"/>
    </row>
    <row r="12" spans="1:9" ht="18" customHeight="1" x14ac:dyDescent="0.25">
      <c r="A12" s="37"/>
      <c r="B12" s="38" t="s">
        <v>14</v>
      </c>
      <c r="C12" s="39" t="s">
        <v>20</v>
      </c>
      <c r="D12" s="38" t="str">
        <f>B12</f>
        <v>Customers</v>
      </c>
      <c r="E12" s="39" t="s">
        <v>20</v>
      </c>
      <c r="F12" s="38" t="str">
        <f>B12</f>
        <v>Customers</v>
      </c>
      <c r="G12" s="39" t="s">
        <v>19</v>
      </c>
    </row>
    <row r="13" spans="1:9" ht="18" customHeight="1" x14ac:dyDescent="0.25">
      <c r="A13" s="40" t="s">
        <v>44</v>
      </c>
      <c r="B13" s="43">
        <f>REC_programs_detail!B23</f>
        <v>2707</v>
      </c>
      <c r="C13" s="44">
        <f>IF(B13=0,0,B13/'Summary Load Customers '!$B$22)</f>
        <v>8.9499733848224065E-3</v>
      </c>
      <c r="D13" s="43">
        <f>REC_programs_detail!C23</f>
        <v>40</v>
      </c>
      <c r="E13" s="44">
        <f>IF(D13=0,0,D13/('Summary Load Customers '!$D$22+'Summary Load Customers '!$F$22))</f>
        <v>1.0180707559175363E-3</v>
      </c>
      <c r="F13" s="43">
        <f>B13+D13</f>
        <v>2747</v>
      </c>
      <c r="G13" s="44">
        <f>IF(F13=0,0,F13/'Summary Load Customers '!$H$22)</f>
        <v>8.0380630228618077E-3</v>
      </c>
    </row>
    <row r="14" spans="1:9" ht="15.75" customHeight="1" x14ac:dyDescent="0.25">
      <c r="G14" s="50"/>
      <c r="H14" s="28"/>
    </row>
    <row r="15" spans="1:9" ht="15.75" customHeight="1" x14ac:dyDescent="0.25">
      <c r="A15" s="100" t="str">
        <f>"As the above table shows, "&amp;TEXT(F13,"0,000")&amp;" of UI's customers, or "&amp;TEXT(G13,"0.0%")&amp;" are participating in the CTCleanEnergyOptions Program."</f>
        <v>As the above table shows, 2,747 of UI's customers, or 0.8% are participating in the CTCleanEnergyOptions Program.</v>
      </c>
      <c r="G15" s="50"/>
      <c r="H15" s="28"/>
    </row>
    <row r="16" spans="1:9" ht="15.75" customHeight="1" x14ac:dyDescent="0.25">
      <c r="G16" s="50"/>
      <c r="H16" s="28"/>
    </row>
    <row r="17" spans="1:9" ht="18" customHeight="1" x14ac:dyDescent="0.25">
      <c r="A17" s="29" t="s">
        <v>43</v>
      </c>
      <c r="B17" s="30"/>
      <c r="C17" s="30"/>
      <c r="D17" s="30"/>
      <c r="E17" s="30"/>
      <c r="F17" s="30"/>
      <c r="G17" s="51"/>
      <c r="H17" s="25"/>
      <c r="I17" s="26"/>
    </row>
    <row r="18" spans="1:9" ht="18" customHeight="1" x14ac:dyDescent="0.25">
      <c r="A18" s="40"/>
      <c r="B18" s="32" t="s">
        <v>5</v>
      </c>
      <c r="C18" s="52"/>
      <c r="D18" s="32" t="s">
        <v>26</v>
      </c>
      <c r="E18" s="53"/>
      <c r="F18" s="32" t="s">
        <v>33</v>
      </c>
      <c r="G18" s="34"/>
    </row>
    <row r="19" spans="1:9" ht="18" customHeight="1" x14ac:dyDescent="0.25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B19</f>
        <v>Customers</v>
      </c>
      <c r="G19" s="39" t="s">
        <v>19</v>
      </c>
    </row>
    <row r="20" spans="1:9" ht="18" customHeight="1" x14ac:dyDescent="0.25">
      <c r="A20" s="40" t="s">
        <v>45</v>
      </c>
      <c r="B20" s="43">
        <f>REC_programs_detail!B29</f>
        <v>680</v>
      </c>
      <c r="C20" s="44">
        <f>IF(B20=0,0,B20/'Summary Load Customers '!$B$22)</f>
        <v>2.2482386042405747E-3</v>
      </c>
      <c r="D20" s="43">
        <f>REC_programs_detail!C29</f>
        <v>61</v>
      </c>
      <c r="E20" s="44">
        <f>IF(D20=0,0,D20/('Summary Load Customers '!$D$22+'Summary Load Customers '!$F$22))</f>
        <v>1.5525579027742427E-3</v>
      </c>
      <c r="F20" s="43">
        <f>B20+D20</f>
        <v>741</v>
      </c>
      <c r="G20" s="44">
        <f>IF(F20=0,0,F20/'Summary Load Customers '!$H$22)</f>
        <v>2.1682579905135057E-3</v>
      </c>
    </row>
    <row r="21" spans="1:9" ht="18" customHeight="1" x14ac:dyDescent="0.25">
      <c r="B21" s="49"/>
      <c r="C21" s="48"/>
      <c r="D21" s="49"/>
      <c r="E21" s="48"/>
      <c r="F21" s="49"/>
      <c r="G21" s="48"/>
      <c r="H21" s="49"/>
      <c r="I21" s="48"/>
    </row>
    <row r="22" spans="1:9" ht="18" customHeight="1" x14ac:dyDescent="0.25">
      <c r="A22" s="100" t="str">
        <f>"As the above table shows, "&amp;TEXT(F20,"0,000")&amp;" of UI's customers, or "&amp;TEXT(G20,"0.0%")&amp;" are participating in the REC only program."</f>
        <v>As the above table shows, 0,741 of UI's customers, or 0.2% are participating in the REC only program.</v>
      </c>
      <c r="B22" s="49"/>
      <c r="C22" s="48"/>
      <c r="D22" s="49"/>
      <c r="E22" s="48"/>
      <c r="F22" s="49"/>
      <c r="G22" s="48"/>
      <c r="H22" s="49"/>
      <c r="I22" s="48"/>
    </row>
    <row r="23" spans="1:9" ht="13.8" x14ac:dyDescent="0.25">
      <c r="A23" s="46"/>
    </row>
    <row r="24" spans="1:9" ht="13.8" x14ac:dyDescent="0.25">
      <c r="A24" s="29" t="s">
        <v>47</v>
      </c>
      <c r="B24" s="30"/>
      <c r="C24" s="30"/>
      <c r="D24" s="30"/>
      <c r="E24" s="30"/>
      <c r="F24" s="30"/>
      <c r="G24" s="51"/>
      <c r="H24" s="25"/>
      <c r="I24" s="26"/>
    </row>
    <row r="25" spans="1:9" ht="13.8" x14ac:dyDescent="0.25">
      <c r="A25" s="40"/>
      <c r="B25" s="32" t="s">
        <v>5</v>
      </c>
      <c r="C25" s="52"/>
      <c r="D25" s="32" t="s">
        <v>26</v>
      </c>
      <c r="E25" s="53"/>
      <c r="F25" s="32" t="s">
        <v>33</v>
      </c>
      <c r="G25" s="34"/>
    </row>
    <row r="26" spans="1:9" ht="13.8" x14ac:dyDescent="0.25">
      <c r="A26" s="37"/>
      <c r="B26" s="38" t="s">
        <v>14</v>
      </c>
      <c r="C26" s="39" t="s">
        <v>20</v>
      </c>
      <c r="D26" s="38" t="str">
        <f>B26</f>
        <v>Customers</v>
      </c>
      <c r="E26" s="39" t="s">
        <v>20</v>
      </c>
      <c r="F26" s="38" t="str">
        <f>B26</f>
        <v>Customers</v>
      </c>
      <c r="G26" s="39" t="s">
        <v>19</v>
      </c>
    </row>
    <row r="27" spans="1:9" ht="13.8" x14ac:dyDescent="0.25">
      <c r="A27" s="40" t="s">
        <v>46</v>
      </c>
      <c r="B27" s="43">
        <f>B13+B20</f>
        <v>3387</v>
      </c>
      <c r="C27" s="44">
        <f>IF(B27=0,0,B27/'Summary Load Customers '!$B$22)</f>
        <v>1.119821198906298E-2</v>
      </c>
      <c r="D27" s="43">
        <f>D13+D20</f>
        <v>101</v>
      </c>
      <c r="E27" s="44">
        <f>IF(D27=0,0,D27/('Summary Load Customers '!$D$22+'Summary Load Customers '!$F$22))</f>
        <v>2.5706286586917792E-3</v>
      </c>
      <c r="F27" s="43">
        <f>B27+D27</f>
        <v>3488</v>
      </c>
      <c r="G27" s="44">
        <f>IF(F27=0,0,F27/'Summary Load Customers '!$H$22)</f>
        <v>1.0206321013375314E-2</v>
      </c>
    </row>
    <row r="28" spans="1:9" ht="13.8" x14ac:dyDescent="0.25">
      <c r="G28" s="50"/>
      <c r="H28" s="28"/>
    </row>
    <row r="29" spans="1:9" ht="13.8" x14ac:dyDescent="0.25">
      <c r="A29" s="100" t="str">
        <f>"As the above table shows, "&amp;TEXT(F27,"0,000")&amp;" of UI's customers, or "&amp;TEXT(G27,"0.0%")&amp;" are participating in the combined REC programs."</f>
        <v>As the above table shows, 3,488 of UI's customers, or 1.0% are participating in the combined REC programs.</v>
      </c>
      <c r="G29" s="50"/>
      <c r="H29" s="28"/>
    </row>
    <row r="31" spans="1:9" ht="13.8" x14ac:dyDescent="0.25">
      <c r="A31" s="67" t="s">
        <v>32</v>
      </c>
    </row>
    <row r="32" spans="1:9" ht="13.8" x14ac:dyDescent="0.25">
      <c r="A32" s="67"/>
    </row>
    <row r="33" spans="1:1" ht="13.8" x14ac:dyDescent="0.25">
      <c r="A33" s="67" t="s">
        <v>54</v>
      </c>
    </row>
    <row r="34" spans="1:1" x14ac:dyDescent="0.25">
      <c r="A34" s="68" t="s">
        <v>52</v>
      </c>
    </row>
    <row r="36" spans="1:1" x14ac:dyDescent="0.25">
      <c r="A36" s="68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9" zoomScale="110" zoomScaleNormal="110" workbookViewId="0">
      <selection activeCell="F43" sqref="F43"/>
    </sheetView>
  </sheetViews>
  <sheetFormatPr defaultColWidth="9.109375" defaultRowHeight="10.199999999999999" x14ac:dyDescent="0.2"/>
  <cols>
    <col min="1" max="1" width="28" style="75" customWidth="1"/>
    <col min="2" max="3" width="19.109375" style="75" customWidth="1"/>
    <col min="4" max="4" width="20.33203125" style="75" customWidth="1"/>
    <col min="5" max="5" width="7.109375" style="75" customWidth="1"/>
    <col min="6" max="6" width="23.33203125" style="75" bestFit="1" customWidth="1"/>
    <col min="7" max="7" width="10.44140625" style="75" customWidth="1"/>
    <col min="8" max="16384" width="9.109375" style="75"/>
  </cols>
  <sheetData>
    <row r="1" spans="1:9" s="74" customFormat="1" ht="15" customHeight="1" x14ac:dyDescent="0.25">
      <c r="A1" s="120" t="str">
        <f>'Summary Load Customers '!A1</f>
        <v>The United Illuminating Company</v>
      </c>
      <c r="B1" s="120"/>
      <c r="C1" s="120"/>
      <c r="D1" s="120"/>
      <c r="E1" s="72"/>
      <c r="F1" s="72"/>
      <c r="G1" s="73"/>
    </row>
    <row r="2" spans="1:9" s="8" customFormat="1" ht="18" customHeight="1" x14ac:dyDescent="0.25">
      <c r="A2" s="121" t="s">
        <v>57</v>
      </c>
      <c r="B2" s="121"/>
      <c r="C2" s="121"/>
      <c r="D2" s="121"/>
      <c r="E2" s="24"/>
      <c r="F2" s="24"/>
      <c r="G2" s="25"/>
      <c r="H2" s="26"/>
      <c r="I2" s="26"/>
    </row>
    <row r="3" spans="1:9" s="74" customFormat="1" ht="15" customHeight="1" x14ac:dyDescent="0.25">
      <c r="A3" s="120" t="s">
        <v>35</v>
      </c>
      <c r="B3" s="120"/>
      <c r="C3" s="120"/>
      <c r="D3" s="120"/>
      <c r="E3" s="72"/>
      <c r="F3" s="72"/>
      <c r="G3" s="73"/>
    </row>
    <row r="4" spans="1:9" s="74" customFormat="1" ht="15" customHeight="1" x14ac:dyDescent="0.25">
      <c r="A4" s="120" t="s">
        <v>2</v>
      </c>
      <c r="B4" s="120"/>
      <c r="C4" s="120"/>
      <c r="D4" s="120"/>
      <c r="E4" s="72"/>
      <c r="F4" s="72"/>
      <c r="G4" s="73"/>
    </row>
    <row r="5" spans="1:9" s="74" customFormat="1" ht="15" customHeight="1" x14ac:dyDescent="0.25">
      <c r="A5" s="120" t="str">
        <f>'Summary Load Customers '!A6</f>
        <v>Data as of January 31, 2017</v>
      </c>
      <c r="B5" s="120"/>
      <c r="C5" s="120"/>
      <c r="D5" s="120"/>
      <c r="E5" s="72"/>
      <c r="F5" s="72"/>
      <c r="G5" s="73"/>
    </row>
    <row r="6" spans="1:9" x14ac:dyDescent="0.2">
      <c r="C6" s="76"/>
      <c r="D6" s="76"/>
      <c r="E6" s="76"/>
      <c r="F6" s="76"/>
      <c r="G6" s="76"/>
    </row>
    <row r="7" spans="1:9" s="82" customFormat="1" ht="20.399999999999999" x14ac:dyDescent="0.2">
      <c r="A7" s="77" t="s">
        <v>37</v>
      </c>
      <c r="B7" s="78" t="s">
        <v>5</v>
      </c>
      <c r="C7" s="77" t="s">
        <v>6</v>
      </c>
      <c r="D7" s="77" t="s">
        <v>33</v>
      </c>
      <c r="E7" s="79"/>
      <c r="F7" s="79"/>
      <c r="G7" s="80"/>
      <c r="H7" s="81"/>
    </row>
    <row r="8" spans="1:9" x14ac:dyDescent="0.2">
      <c r="A8" s="83" t="s">
        <v>36</v>
      </c>
      <c r="B8" s="84"/>
      <c r="C8" s="85"/>
      <c r="D8" s="86">
        <f>IF(C8=0,0,C8)</f>
        <v>0</v>
      </c>
      <c r="E8" s="76"/>
      <c r="F8" s="76"/>
      <c r="G8" s="87"/>
      <c r="H8" s="76"/>
    </row>
    <row r="9" spans="1:9" x14ac:dyDescent="0.2">
      <c r="A9" s="83" t="s">
        <v>15</v>
      </c>
      <c r="B9" s="85">
        <v>137</v>
      </c>
      <c r="C9" s="85">
        <v>2</v>
      </c>
      <c r="D9" s="86">
        <f>SUM(B9:C9)</f>
        <v>139</v>
      </c>
      <c r="E9" s="88"/>
      <c r="F9" s="88"/>
      <c r="G9" s="87"/>
      <c r="H9" s="76"/>
    </row>
    <row r="10" spans="1:9" x14ac:dyDescent="0.2">
      <c r="A10" s="83" t="s">
        <v>16</v>
      </c>
      <c r="B10" s="85">
        <v>2041</v>
      </c>
      <c r="C10" s="85">
        <v>36</v>
      </c>
      <c r="D10" s="86">
        <f>SUM(B10:C10)</f>
        <v>2077</v>
      </c>
      <c r="E10" s="89"/>
      <c r="F10" s="90"/>
      <c r="G10" s="87"/>
      <c r="H10" s="76"/>
    </row>
    <row r="11" spans="1:9" x14ac:dyDescent="0.2">
      <c r="A11" s="91" t="s">
        <v>7</v>
      </c>
      <c r="B11" s="92">
        <f>IF(B9+B10=0,0,B9+B10)</f>
        <v>2178</v>
      </c>
      <c r="C11" s="92">
        <f>IF(SUM(C8:C10)=0,0,SUM(C8:C10))</f>
        <v>38</v>
      </c>
      <c r="D11" s="92">
        <f>IF(SUM(D8:D10)=0,0,SUM(D8:D10))</f>
        <v>2216</v>
      </c>
      <c r="E11" s="89"/>
      <c r="F11" s="90"/>
      <c r="G11" s="87"/>
      <c r="H11" s="76"/>
    </row>
    <row r="12" spans="1:9" x14ac:dyDescent="0.2">
      <c r="A12" s="76"/>
      <c r="B12" s="93"/>
      <c r="C12" s="93"/>
      <c r="D12" s="93"/>
      <c r="E12" s="89"/>
      <c r="F12" s="90"/>
      <c r="G12" s="94"/>
      <c r="H12" s="76"/>
    </row>
    <row r="13" spans="1:9" ht="20.399999999999999" x14ac:dyDescent="0.2">
      <c r="A13" s="77" t="s">
        <v>40</v>
      </c>
      <c r="B13" s="77" t="s">
        <v>5</v>
      </c>
      <c r="C13" s="77" t="str">
        <f>C7</f>
        <v>Business</v>
      </c>
      <c r="D13" s="77" t="s">
        <v>33</v>
      </c>
      <c r="E13" s="95"/>
      <c r="F13" s="96"/>
      <c r="G13" s="94"/>
      <c r="H13" s="76"/>
    </row>
    <row r="14" spans="1:9" x14ac:dyDescent="0.2">
      <c r="A14" s="83" t="s">
        <v>36</v>
      </c>
      <c r="B14" s="84"/>
      <c r="C14" s="85"/>
      <c r="D14" s="86">
        <f>IF(C14=0,0,C14)</f>
        <v>0</v>
      </c>
      <c r="E14" s="76"/>
      <c r="F14" s="76"/>
      <c r="G14" s="94"/>
      <c r="H14" s="76"/>
    </row>
    <row r="15" spans="1:9" x14ac:dyDescent="0.2">
      <c r="A15" s="83" t="s">
        <v>15</v>
      </c>
      <c r="B15" s="85">
        <v>3</v>
      </c>
      <c r="C15" s="85">
        <v>0</v>
      </c>
      <c r="D15" s="86">
        <f>SUM(B15:C15)</f>
        <v>3</v>
      </c>
      <c r="E15" s="88"/>
      <c r="F15" s="88"/>
      <c r="G15" s="87"/>
      <c r="H15" s="76"/>
    </row>
    <row r="16" spans="1:9" x14ac:dyDescent="0.2">
      <c r="A16" s="83" t="s">
        <v>16</v>
      </c>
      <c r="B16" s="85">
        <v>526</v>
      </c>
      <c r="C16" s="85">
        <v>2</v>
      </c>
      <c r="D16" s="86">
        <f>SUM(B16:C16)</f>
        <v>528</v>
      </c>
      <c r="E16" s="89"/>
      <c r="F16" s="90"/>
      <c r="G16" s="87"/>
      <c r="H16" s="76"/>
    </row>
    <row r="17" spans="1:8" x14ac:dyDescent="0.2">
      <c r="A17" s="91" t="str">
        <f>A11</f>
        <v>Total</v>
      </c>
      <c r="B17" s="92">
        <f>IF(B15+B16=0,0,B15+B16)</f>
        <v>529</v>
      </c>
      <c r="C17" s="92">
        <f>IF(SUM(C14:C16)=0,0,SUM(C14:C16))</f>
        <v>2</v>
      </c>
      <c r="D17" s="92">
        <f>IF(SUM(D14:D16)=0,0,SUM(D14:D16))</f>
        <v>531</v>
      </c>
      <c r="E17" s="89"/>
      <c r="F17" s="90"/>
      <c r="G17" s="87"/>
      <c r="H17" s="76"/>
    </row>
    <row r="18" spans="1:8" x14ac:dyDescent="0.2">
      <c r="A18" s="76"/>
      <c r="B18" s="76"/>
      <c r="C18" s="76"/>
      <c r="D18" s="76"/>
      <c r="E18" s="89"/>
      <c r="F18" s="90"/>
      <c r="G18" s="94"/>
      <c r="H18" s="76"/>
    </row>
    <row r="19" spans="1:8" ht="20.399999999999999" x14ac:dyDescent="0.2">
      <c r="A19" s="77" t="s">
        <v>41</v>
      </c>
      <c r="B19" s="77" t="s">
        <v>5</v>
      </c>
      <c r="C19" s="77" t="str">
        <f>C7</f>
        <v>Business</v>
      </c>
      <c r="D19" s="77" t="s">
        <v>33</v>
      </c>
      <c r="E19" s="95"/>
      <c r="F19" s="96"/>
      <c r="G19" s="94"/>
      <c r="H19" s="76"/>
    </row>
    <row r="20" spans="1:8" x14ac:dyDescent="0.2">
      <c r="A20" s="83" t="s">
        <v>36</v>
      </c>
      <c r="B20" s="84"/>
      <c r="C20" s="97">
        <f t="shared" ref="C20:D21" si="0">IF(C8+C14=0,0,C8+C14)</f>
        <v>0</v>
      </c>
      <c r="D20" s="86"/>
      <c r="E20" s="94"/>
      <c r="F20" s="94"/>
      <c r="G20" s="94"/>
      <c r="H20" s="76"/>
    </row>
    <row r="21" spans="1:8" x14ac:dyDescent="0.2">
      <c r="A21" s="83" t="s">
        <v>15</v>
      </c>
      <c r="B21" s="97">
        <f>IF(B9+B15=0,0,B9+B15)</f>
        <v>140</v>
      </c>
      <c r="C21" s="97">
        <f>IF(C9+C15=0,0,C9+C15)</f>
        <v>2</v>
      </c>
      <c r="D21" s="86">
        <f t="shared" si="0"/>
        <v>142</v>
      </c>
      <c r="E21" s="87"/>
      <c r="F21" s="94"/>
      <c r="G21" s="94"/>
      <c r="H21" s="76"/>
    </row>
    <row r="22" spans="1:8" x14ac:dyDescent="0.2">
      <c r="A22" s="83" t="s">
        <v>16</v>
      </c>
      <c r="B22" s="97">
        <f>IF(B10+B16=0,0,B10+B16)</f>
        <v>2567</v>
      </c>
      <c r="C22" s="97">
        <f>IF(C10+C16=0,0,C10+C16)</f>
        <v>38</v>
      </c>
      <c r="D22" s="86">
        <f>IF(D10+D16=0,0,D10+D16)</f>
        <v>2605</v>
      </c>
      <c r="E22" s="76"/>
      <c r="F22" s="94"/>
      <c r="G22" s="94"/>
      <c r="H22" s="76"/>
    </row>
    <row r="23" spans="1:8" x14ac:dyDescent="0.2">
      <c r="A23" s="91" t="str">
        <f>A11</f>
        <v>Total</v>
      </c>
      <c r="B23" s="92">
        <f>IF(B21+B22=0,0,B21+B22)</f>
        <v>2707</v>
      </c>
      <c r="C23" s="92">
        <f>IF(SUM(C20:C22)=0,0,SUM(C20:C22))</f>
        <v>40</v>
      </c>
      <c r="D23" s="92">
        <f>SUM(D20:D22)</f>
        <v>2747</v>
      </c>
      <c r="E23" s="76"/>
      <c r="F23" s="94"/>
      <c r="G23" s="94"/>
      <c r="H23" s="76"/>
    </row>
    <row r="24" spans="1:8" x14ac:dyDescent="0.2">
      <c r="B24" s="76"/>
      <c r="C24" s="76"/>
      <c r="E24" s="76"/>
      <c r="F24" s="94"/>
      <c r="G24" s="94"/>
      <c r="H24" s="76"/>
    </row>
    <row r="25" spans="1:8" ht="20.399999999999999" x14ac:dyDescent="0.2">
      <c r="A25" s="77" t="s">
        <v>38</v>
      </c>
      <c r="B25" s="77" t="s">
        <v>5</v>
      </c>
      <c r="C25" s="77" t="s">
        <v>6</v>
      </c>
      <c r="D25" s="77" t="s">
        <v>33</v>
      </c>
    </row>
    <row r="26" spans="1:8" x14ac:dyDescent="0.2">
      <c r="A26" s="83" t="s">
        <v>36</v>
      </c>
      <c r="B26" s="84"/>
      <c r="C26" s="97">
        <f>IF(C14+C20=0,0,C14+C20)</f>
        <v>0</v>
      </c>
      <c r="D26" s="86">
        <f>IF(C26=0,0,C26)</f>
        <v>0</v>
      </c>
    </row>
    <row r="27" spans="1:8" x14ac:dyDescent="0.2">
      <c r="A27" s="83" t="s">
        <v>15</v>
      </c>
      <c r="B27" s="85">
        <v>196</v>
      </c>
      <c r="C27" s="85">
        <v>11</v>
      </c>
      <c r="D27" s="86">
        <f>SUM(B27:C27)</f>
        <v>207</v>
      </c>
    </row>
    <row r="28" spans="1:8" x14ac:dyDescent="0.2">
      <c r="A28" s="83" t="s">
        <v>16</v>
      </c>
      <c r="B28" s="85">
        <v>484</v>
      </c>
      <c r="C28" s="85">
        <v>50</v>
      </c>
      <c r="D28" s="86">
        <f>SUM(B28:C28)</f>
        <v>534</v>
      </c>
    </row>
    <row r="29" spans="1:8" x14ac:dyDescent="0.2">
      <c r="A29" s="91" t="str">
        <f>A23</f>
        <v>Total</v>
      </c>
      <c r="B29" s="118">
        <f>IF(B27+B28=0,0,B27+B28)</f>
        <v>680</v>
      </c>
      <c r="C29" s="92">
        <f>IF(SUM(C26:C28)=0,0,SUM(C26:C28))</f>
        <v>61</v>
      </c>
      <c r="D29" s="92">
        <f>IF(SUM(D26:D28)=0,0,SUM(D26:D28))</f>
        <v>741</v>
      </c>
    </row>
    <row r="31" spans="1:8" x14ac:dyDescent="0.2">
      <c r="A31" s="77" t="s">
        <v>39</v>
      </c>
      <c r="B31" s="77" t="s">
        <v>5</v>
      </c>
      <c r="C31" s="77" t="str">
        <f>C19</f>
        <v>Business</v>
      </c>
      <c r="D31" s="77" t="s">
        <v>33</v>
      </c>
    </row>
    <row r="32" spans="1:8" x14ac:dyDescent="0.2">
      <c r="A32" s="83" t="s">
        <v>36</v>
      </c>
      <c r="B32" s="84">
        <f>B20+B26</f>
        <v>0</v>
      </c>
      <c r="C32" s="97">
        <f t="shared" ref="C32:D34" si="1">C20+C26</f>
        <v>0</v>
      </c>
      <c r="D32" s="86">
        <f t="shared" si="1"/>
        <v>0</v>
      </c>
    </row>
    <row r="33" spans="1:7" x14ac:dyDescent="0.2">
      <c r="A33" s="83" t="s">
        <v>15</v>
      </c>
      <c r="B33" s="97">
        <f>B21+B27</f>
        <v>336</v>
      </c>
      <c r="C33" s="97">
        <f t="shared" si="1"/>
        <v>13</v>
      </c>
      <c r="D33" s="86">
        <f t="shared" si="1"/>
        <v>349</v>
      </c>
      <c r="E33" s="76"/>
      <c r="F33" s="76"/>
      <c r="G33" s="76"/>
    </row>
    <row r="34" spans="1:7" x14ac:dyDescent="0.2">
      <c r="A34" s="83" t="s">
        <v>16</v>
      </c>
      <c r="B34" s="97">
        <f>B22+B28</f>
        <v>3051</v>
      </c>
      <c r="C34" s="97">
        <f t="shared" si="1"/>
        <v>88</v>
      </c>
      <c r="D34" s="86">
        <f t="shared" si="1"/>
        <v>3139</v>
      </c>
    </row>
    <row r="35" spans="1:7" x14ac:dyDescent="0.2">
      <c r="A35" s="91" t="str">
        <f>A29</f>
        <v>Total</v>
      </c>
      <c r="B35" s="92">
        <f>IF(B33+B34=0,0,B33+B34)</f>
        <v>3387</v>
      </c>
      <c r="C35" s="92">
        <f>IF(SUM(C32:C34)=0,0,SUM(C32:C34))</f>
        <v>101</v>
      </c>
      <c r="D35" s="92">
        <f>SUM(D32:D34)</f>
        <v>3488</v>
      </c>
    </row>
    <row r="37" spans="1:7" x14ac:dyDescent="0.2">
      <c r="A37" s="98" t="str">
        <f>"In summary, "&amp;TEXT($D$23,"0,000")&amp; " of UI's customers are participating in the CTCleanEnergyOptions Program"</f>
        <v>In summary, 2,747 of UI's customers are participating in the CTCleanEnergyOptions Program</v>
      </c>
    </row>
    <row r="38" spans="1:7" x14ac:dyDescent="0.2">
      <c r="A38" s="98" t="str">
        <f>"In summary, "&amp;TEXT($D$29,"000")&amp; " of UI's customers are participating in RECs only with Sterling Planet"</f>
        <v>In summary, 741 of UI's customers are participating in RECs only with Sterling Planet</v>
      </c>
    </row>
    <row r="39" spans="1:7" x14ac:dyDescent="0.2">
      <c r="A39" s="98" t="str">
        <f>"In summary, "&amp;TEXT($D$35,"0,000")&amp; " of UI's customers are participating in all REC programs"</f>
        <v>In summary, 3,488 of UI's customers are participating in all REC programs</v>
      </c>
    </row>
    <row r="41" spans="1:7" x14ac:dyDescent="0.2">
      <c r="A41" s="99" t="s">
        <v>21</v>
      </c>
    </row>
    <row r="42" spans="1:7" x14ac:dyDescent="0.2">
      <c r="A42" s="76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Arthur Forman</cp:lastModifiedBy>
  <cp:lastPrinted>2018-02-15T14:16:32Z</cp:lastPrinted>
  <dcterms:created xsi:type="dcterms:W3CDTF">2009-03-17T13:14:28Z</dcterms:created>
  <dcterms:modified xsi:type="dcterms:W3CDTF">2018-02-15T14:16:43Z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</Properties>
</file>