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5" yWindow="2265" windowWidth="20190" windowHeight="447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12" i="7" l="1"/>
  <c r="F11" i="7"/>
  <c r="D12" i="7"/>
  <c r="D11" i="7"/>
  <c r="B12" i="7"/>
  <c r="B11" i="7"/>
  <c r="E48" i="6" l="1"/>
  <c r="E49" i="6"/>
  <c r="E50" i="6"/>
  <c r="E51" i="6"/>
  <c r="E52" i="6"/>
  <c r="E53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9" i="6"/>
  <c r="F21" i="7"/>
  <c r="F20" i="7"/>
  <c r="D21" i="7"/>
  <c r="D20" i="7"/>
  <c r="B21" i="7"/>
  <c r="B20" i="7"/>
  <c r="F10" i="6" l="1"/>
  <c r="F41" i="6" l="1"/>
  <c r="F33" i="6"/>
  <c r="F46" i="6"/>
  <c r="F31" i="6"/>
  <c r="F17" i="6"/>
  <c r="F38" i="6"/>
  <c r="F25" i="6"/>
  <c r="F52" i="6"/>
  <c r="F18" i="6"/>
  <c r="F45" i="6"/>
  <c r="F37" i="6"/>
  <c r="F42" i="6"/>
  <c r="F34" i="6"/>
  <c r="F28" i="6"/>
  <c r="F21" i="6"/>
  <c r="F13" i="6"/>
  <c r="F22" i="6"/>
  <c r="F14" i="6"/>
  <c r="F47" i="6"/>
  <c r="F43" i="6"/>
  <c r="F39" i="6"/>
  <c r="F35" i="6"/>
  <c r="F29" i="6"/>
  <c r="F26" i="6"/>
  <c r="F23" i="6"/>
  <c r="F19" i="6"/>
  <c r="F15" i="6"/>
  <c r="F11" i="6"/>
  <c r="F9" i="6"/>
  <c r="F51" i="6"/>
  <c r="F44" i="6"/>
  <c r="F40" i="6"/>
  <c r="F36" i="6"/>
  <c r="F32" i="6"/>
  <c r="F30" i="6"/>
  <c r="F27" i="6"/>
  <c r="F24" i="6"/>
  <c r="F20" i="6"/>
  <c r="F16" i="6"/>
  <c r="F12" i="6"/>
  <c r="B32" i="5"/>
  <c r="F53" i="6" l="1"/>
  <c r="C11" i="5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H20" i="7" l="1"/>
  <c r="D22" i="7"/>
  <c r="E21" i="7" l="1"/>
  <c r="E20" i="8"/>
  <c r="E13" i="8"/>
  <c r="E27" i="8"/>
  <c r="H22" i="7"/>
  <c r="I20" i="7" s="1"/>
  <c r="A24" i="7" s="1"/>
  <c r="E20" i="7"/>
  <c r="I21" i="7" l="1"/>
  <c r="A25" i="7" s="1"/>
  <c r="G20" i="8"/>
  <c r="A22" i="8" s="1"/>
  <c r="G13" i="8"/>
  <c r="A15" i="8" s="1"/>
  <c r="G27" i="8"/>
  <c r="A29" i="8" s="1"/>
  <c r="B13" i="7" l="1"/>
  <c r="H12" i="7"/>
  <c r="C11" i="7" l="1"/>
  <c r="C12" i="7"/>
  <c r="H11" i="7" l="1"/>
  <c r="D13" i="7"/>
  <c r="E12" i="7" s="1"/>
  <c r="F13" i="7"/>
  <c r="G12" i="7" s="1"/>
  <c r="E11" i="7" l="1"/>
  <c r="G11" i="7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<sst xmlns="http://schemas.openxmlformats.org/spreadsheetml/2006/main" count="166" uniqueCount="100">
  <si>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</si>
  <si>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</si>
  <si>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</si>
  <si>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</si>
  <si>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</si>
  <si>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</si>
  <si>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</si>
  <si>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</si>
  <si>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</si>
  <si>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</si>
  <si>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</si>
  <si>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</si>
  <si>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</si>
  <si>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</si>
  <si>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</si>
  <si>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</si>
  <si>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</si>
  <si>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</si>
  <si>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</si>
  <si>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</si>
  <si>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</si>
  <si>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</si>
  <si>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</si>
  <si>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</si>
  <si>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</si>
  <si>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</si>
  <si>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</si>
  <si>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</si>
  <si>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</si>
  <si>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</si>
  <si>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</si>
  <si>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</si>
  <si>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</si>
  <si>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</si>
  <si>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</si>
  <si>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</si>
  <si>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</si>
  <si>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</si>
  <si>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</si>
  <si>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</si>
  <si>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</si>
  <si>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</si>
  <si>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</si>
  <si>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</si>
  <si>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</si>
  <si>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</si>
  <si>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</si>
  <si>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</si>
  <si>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</si>
  <si>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</si>
  <si>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</si>
  <si>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</si>
  <si>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</si>
  <si>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</si>
  <si>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</si>
  <si>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BlueRock Energy, Inc.</t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</si>
  <si>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</si>
  <si>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</si>
  <si>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</si>
  <si>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</si>
  <si>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</si>
  <si>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</si>
  <si>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</si>
  <si>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</si>
  <si>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</si>
  <si>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</si>
  <si>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ConEdison Solutions</t>
  </si>
  <si>
    <t>Connecticut Gas &amp; Electric, Inc.</t>
  </si>
  <si>
    <t>Constellation NewEnergy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</si>
  <si>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</si>
  <si>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</si>
  <si>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</si>
  <si>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</si>
  <si>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</si>
  <si>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</si>
  <si>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</si>
  <si>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</si>
  <si>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</si>
  <si>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</si>
  <si>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Great Eastern Energy</t>
  </si>
  <si>
    <t>HIKO Energy, LLC</t>
  </si>
  <si>
    <t>Major Energy Electric Services, LLC</t>
  </si>
  <si>
    <t>Mega Energy of New England</t>
  </si>
  <si>
    <t>Mint Energy, LLC</t>
  </si>
  <si>
    <t>National Gas &amp; Electric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</si>
  <si>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</si>
  <si>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</si>
  <si>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</si>
  <si>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</si>
  <si>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</si>
  <si>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</si>
  <si>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</si>
  <si>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</si>
  <si>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</si>
  <si>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</si>
  <si>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TransCanada Power Marketing Ltd.</t>
  </si>
  <si>
    <t>Verde Energy USA, Inc.</t>
  </si>
  <si>
    <t>Viridian Energy, Inc.</t>
  </si>
  <si>
    <t>XOOM Energy Connecticut, LLC</t>
  </si>
  <si>
    <t>Data as of April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</si>
</sst>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m\ d\,\ yyyy;@"/>
  </numFmts>
  <fonts count="2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0" fontId="1" fillId="0" borderId="2" xfId="3" applyFont="1" applyFill="1" applyBorder="1" applyProtection="1"/>
    <xf numFmtId="3" fontId="1" fillId="0" borderId="2" xfId="3" applyNumberFormat="1" applyFont="1" applyFill="1" applyBorder="1" applyAlignment="1" applyProtection="1">
      <alignment horizontal="center"/>
      <protection locked="0"/>
    </xf>
    <xf numFmtId="3" fontId="1" fillId="0" borderId="2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Protection="1"/>
    <xf numFmtId="3" fontId="1" fillId="0" borderId="2" xfId="3" applyNumberFormat="1" applyFont="1" applyFill="1" applyBorder="1" applyAlignment="1" applyProtection="1">
      <protection locked="0"/>
    </xf>
    <xf numFmtId="3" fontId="1" fillId="0" borderId="11" xfId="3" applyNumberFormat="1" applyFont="1" applyFill="1" applyBorder="1" applyAlignment="1" applyProtection="1">
      <protection locked="0"/>
    </xf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8_Total/2018_04_April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410871/AppData/Local/Microsoft/Windows/INetCache/Content.Outlook/Z370WESM/Customer_count_files/2018/201804_April_2018_customer_count_calcul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51752.029000000053</v>
          </cell>
        </row>
        <row r="25">
          <cell r="H25">
            <v>113350.53099999989</v>
          </cell>
        </row>
        <row r="26">
          <cell r="H26">
            <v>79007.726999999999</v>
          </cell>
        </row>
        <row r="29">
          <cell r="H29">
            <v>94304.171000000002</v>
          </cell>
        </row>
        <row r="30">
          <cell r="H30">
            <v>38144.243000000002</v>
          </cell>
        </row>
        <row r="31">
          <cell r="H31">
            <v>5632.9369999999999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Raw"/>
      <sheetName val="For RFP"/>
      <sheetName val="Suppliers"/>
      <sheetName val="Res"/>
      <sheetName val="C&amp;I"/>
      <sheetName val="LRS"/>
      <sheetName val="Summary"/>
      <sheetName val="Stations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98137</v>
          </cell>
        </row>
        <row r="19">
          <cell r="B19">
            <v>16697</v>
          </cell>
        </row>
        <row r="20">
          <cell r="B20">
            <v>207</v>
          </cell>
        </row>
        <row r="22">
          <cell r="B22">
            <v>201851</v>
          </cell>
        </row>
        <row r="23">
          <cell r="B23">
            <v>16904</v>
          </cell>
        </row>
        <row r="24">
          <cell r="B24">
            <v>28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A7" sqref="A7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>
      <c r="A2" s="22" t="s">
        <v>57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>
      <c r="A3" s="22" t="s">
        <v>34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>
      <c r="A4" s="22" t="s">
        <v>27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>
      <c r="A6" s="117" t="s">
        <v>99</v>
      </c>
      <c r="B6" s="117"/>
      <c r="C6" s="25"/>
      <c r="D6" s="70"/>
      <c r="E6" s="70"/>
      <c r="F6" s="70"/>
      <c r="G6" s="25"/>
      <c r="H6" s="25"/>
      <c r="I6" s="25"/>
    </row>
    <row r="8" spans="1:15" ht="18" customHeight="1">
      <c r="A8" s="28" t="s">
        <v>30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>
      <c r="A9" s="2"/>
      <c r="B9" s="31" t="s">
        <v>31</v>
      </c>
      <c r="C9" s="32"/>
      <c r="D9" s="31" t="s">
        <v>8</v>
      </c>
      <c r="E9" s="33"/>
      <c r="F9" s="31" t="s">
        <v>9</v>
      </c>
      <c r="G9" s="34"/>
      <c r="H9" s="31" t="s">
        <v>33</v>
      </c>
      <c r="I9" s="33"/>
    </row>
    <row r="10" spans="1:15" ht="18" customHeight="1">
      <c r="A10" s="36"/>
      <c r="B10" s="37" t="s">
        <v>10</v>
      </c>
      <c r="C10" s="38" t="s">
        <v>20</v>
      </c>
      <c r="D10" s="37" t="str">
        <f>B10</f>
        <v>MWh</v>
      </c>
      <c r="E10" s="38" t="s">
        <v>20</v>
      </c>
      <c r="F10" s="37" t="str">
        <f>D10</f>
        <v>MWh</v>
      </c>
      <c r="G10" s="38" t="s">
        <v>20</v>
      </c>
      <c r="H10" s="37" t="str">
        <f>F10</f>
        <v>MWh</v>
      </c>
      <c r="I10" s="38" t="s">
        <v>19</v>
      </c>
    </row>
    <row r="11" spans="1:15" ht="18" customHeight="1">
      <c r="A11" s="39" t="s">
        <v>11</v>
      </c>
      <c r="B11" s="68">
        <f>[1]Check!$H$24</f>
        <v>51752.029000000053</v>
      </c>
      <c r="C11" s="40">
        <f>IF(B11=0,0,B11/$B$13)</f>
        <v>0.35432955944355687</v>
      </c>
      <c r="D11" s="68">
        <f>[1]Check!$H$25</f>
        <v>113350.53099999989</v>
      </c>
      <c r="E11" s="40">
        <f>IF(D11=0,0,D11/$D$13)</f>
        <v>0.74821413311590512</v>
      </c>
      <c r="F11" s="68">
        <f>[1]Check!$H$26</f>
        <v>79007.726999999999</v>
      </c>
      <c r="G11" s="40">
        <f>IF(F11=0,0,F11/$F$13)</f>
        <v>0.93344880895546845</v>
      </c>
      <c r="H11" s="41">
        <f>IF(B11+D11+F11=0,0,B11+D11+F11)</f>
        <v>244110.28699999995</v>
      </c>
      <c r="I11" s="40">
        <f>IF(H11=0,0,H11/$H$13)</f>
        <v>0.63871174230138439</v>
      </c>
    </row>
    <row r="12" spans="1:15" ht="18" customHeight="1">
      <c r="A12" s="39" t="s">
        <v>12</v>
      </c>
      <c r="B12" s="69">
        <f>[1]Check!$H$29</f>
        <v>94304.171000000002</v>
      </c>
      <c r="C12" s="40">
        <f>IF(B12=0,0,B12/$B$13)</f>
        <v>0.64567044055644307</v>
      </c>
      <c r="D12" s="69">
        <f>[1]Check!$H$30</f>
        <v>38144.243000000002</v>
      </c>
      <c r="E12" s="40">
        <f>IF(D12=0,0,D12/$D$13)</f>
        <v>0.25178586688409482</v>
      </c>
      <c r="F12" s="69">
        <f>[1]Check!$H$31</f>
        <v>5632.9369999999999</v>
      </c>
      <c r="G12" s="40">
        <f>IF(F12=0,0,F12/$F$13)</f>
        <v>6.6551191044531499E-2</v>
      </c>
      <c r="H12" s="102">
        <f>IF(B12+D12+F12=0,0,B12+D12+F12)</f>
        <v>138081.351</v>
      </c>
      <c r="I12" s="40">
        <f>IF(H12=0,0,H12/$H$13)</f>
        <v>0.36128825769861567</v>
      </c>
    </row>
    <row r="13" spans="1:15" ht="18" customHeight="1">
      <c r="A13" s="107" t="s">
        <v>7</v>
      </c>
      <c r="B13" s="42">
        <f>SUM(B11:B12)</f>
        <v>146056.20000000007</v>
      </c>
      <c r="C13" s="43"/>
      <c r="D13" s="42">
        <f>SUM(D11:D12)</f>
        <v>151494.77399999989</v>
      </c>
      <c r="E13" s="43"/>
      <c r="F13" s="42">
        <f>SUM(F11:F12)</f>
        <v>84640.664000000004</v>
      </c>
      <c r="G13" s="43"/>
      <c r="H13" s="42">
        <f>IF(H11+H12=0,0,H11+H12)</f>
        <v>382191.63799999992</v>
      </c>
      <c r="I13" s="44"/>
    </row>
    <row r="14" spans="1:15" ht="18" customHeight="1">
      <c r="A14" s="99" t="str">
        <f>"As the above table shows, "&amp;TEXT(H11,"0,000")&amp; " MWh, or "&amp;TEXT(I11,"0.0%")&amp;" of UI's total load is served by electric suppliers"</f>
        <v>As the above table shows, 244,110 MWh, or 63.9% of UI's total load is served by electric suppliers</v>
      </c>
      <c r="H14" s="27"/>
      <c r="L14" s="101"/>
      <c r="M14" s="101"/>
      <c r="O14" s="101"/>
    </row>
    <row r="15" spans="1:15" ht="18" customHeight="1">
      <c r="A15" s="99" t="str">
        <f>"while "&amp;TEXT(H12,"0,000")&amp;" MHh, or "&amp;TEXT(I12,"0.0%")&amp;" of the load is provided under Standard Service or Last Resort service through UI."</f>
        <v>while 138,081 MHh, or 36.1%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>
      <c r="G16" s="49"/>
      <c r="H16" s="27"/>
    </row>
    <row r="17" spans="1:17" ht="18" customHeight="1">
      <c r="A17" s="28" t="s">
        <v>29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>
      <c r="A18" s="39"/>
      <c r="B18" s="31" t="s">
        <v>31</v>
      </c>
      <c r="C18" s="51"/>
      <c r="D18" s="31" t="s">
        <v>8</v>
      </c>
      <c r="E18" s="52"/>
      <c r="F18" s="31" t="s">
        <v>9</v>
      </c>
      <c r="G18" s="34"/>
      <c r="H18" s="31" t="s">
        <v>33</v>
      </c>
      <c r="I18" s="33"/>
      <c r="O18" s="100"/>
    </row>
    <row r="19" spans="1:17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D19</f>
        <v>Customers</v>
      </c>
      <c r="G19" s="38" t="s">
        <v>20</v>
      </c>
      <c r="H19" s="37" t="str">
        <f>F19</f>
        <v>Customers</v>
      </c>
      <c r="I19" s="38" t="s">
        <v>19</v>
      </c>
    </row>
    <row r="20" spans="1:17" ht="18" customHeight="1">
      <c r="A20" s="39" t="str">
        <f>A11</f>
        <v>Suppliers</v>
      </c>
      <c r="B20" s="68">
        <f>[2]Summary!$B$18</f>
        <v>98137</v>
      </c>
      <c r="C20" s="40">
        <f>IF(B20=0,0,B20/$B$22)</f>
        <v>0.32713641879008493</v>
      </c>
      <c r="D20" s="68">
        <f>[2]Summary!$B$19</f>
        <v>16697</v>
      </c>
      <c r="E20" s="53">
        <f>IF(D20=0,0,D20/$D$22)</f>
        <v>0.49691973453171034</v>
      </c>
      <c r="F20" s="68">
        <f>[2]Summary!$B$20</f>
        <v>207</v>
      </c>
      <c r="G20" s="40">
        <f>IF(F20=0,0,F20/$F$22)</f>
        <v>0.88085106382978728</v>
      </c>
      <c r="H20" s="41">
        <f>IF(B20+D20+F20=0,0,B20+D20+F20)</f>
        <v>115041</v>
      </c>
      <c r="I20" s="40">
        <f>IF(H20=0,0,H20/$H$22)</f>
        <v>0.34461572565184051</v>
      </c>
      <c r="J20" s="54"/>
      <c r="M20" s="101"/>
    </row>
    <row r="21" spans="1:17" ht="18" customHeight="1">
      <c r="A21" s="39" t="str">
        <f>A12</f>
        <v>UI</v>
      </c>
      <c r="B21" s="69">
        <f>[2]Summary!$B$22</f>
        <v>201851</v>
      </c>
      <c r="C21" s="40">
        <f>IF(B21=0,0,B21/$B$22)</f>
        <v>0.67286358120991507</v>
      </c>
      <c r="D21" s="69">
        <f>[2]Summary!$B$23</f>
        <v>16904</v>
      </c>
      <c r="E21" s="53">
        <f>IF(D21=0,0,D21/$D$22)</f>
        <v>0.50308026546828966</v>
      </c>
      <c r="F21" s="68">
        <f>[2]Summary!$B$24</f>
        <v>28</v>
      </c>
      <c r="G21" s="40">
        <f>IF(F21=0,0,F21/$F$22)</f>
        <v>0.11914893617021277</v>
      </c>
      <c r="H21" s="69">
        <f>IF(B21+D21+F21=0,0,B21+D21+F21)</f>
        <v>218783</v>
      </c>
      <c r="I21" s="40">
        <f>IF(H21=0,0,H21/$H$22)</f>
        <v>0.65538427434815949</v>
      </c>
    </row>
    <row r="22" spans="1:17" ht="18" customHeight="1">
      <c r="A22" s="39" t="str">
        <f>A13</f>
        <v>Total</v>
      </c>
      <c r="B22" s="42">
        <f>SUM(B20:B21)</f>
        <v>299988</v>
      </c>
      <c r="C22" s="55"/>
      <c r="D22" s="42">
        <f>SUM(D20:D21)</f>
        <v>33601</v>
      </c>
      <c r="E22" s="43"/>
      <c r="F22" s="42">
        <f>SUM(F20:F21)</f>
        <v>235</v>
      </c>
      <c r="G22" s="43"/>
      <c r="H22" s="42">
        <f>IF(H20+H21=0,0,H20+H21)</f>
        <v>333824</v>
      </c>
      <c r="I22" s="44"/>
      <c r="N22" s="101"/>
      <c r="Q22" s="101"/>
    </row>
    <row r="23" spans="1:17" ht="18" customHeight="1">
      <c r="G23" s="49"/>
      <c r="H23" s="27"/>
    </row>
    <row r="24" spans="1:17" ht="18" customHeight="1">
      <c r="A24" s="99" t="str">
        <f>"As the above table shows, "&amp;TEXT(H20,"0,000")&amp; " of UI's total customers, or "&amp;TEXT(I20,"0.0%")&amp;" are served by electric suppliers"</f>
        <v>As the above table shows, 115,041 of UI's total customers, or 34.5% are served by electric suppliers</v>
      </c>
      <c r="G24" s="49"/>
      <c r="H24" s="27"/>
      <c r="J24" s="101"/>
    </row>
    <row r="25" spans="1:17" ht="18" customHeight="1">
      <c r="A25" s="99" t="str">
        <f>"while "&amp;TEXT(H21,"0,000")&amp;" or "&amp;TEXT(I21,"0.0%")&amp;" of the customers continue to receive Standard Service or Last Resort service through UI."</f>
        <v>while 218,783 or 65.5%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>
      <c r="B26" s="27"/>
      <c r="C26" s="27"/>
      <c r="D26" s="58"/>
      <c r="E26" s="58"/>
      <c r="F26" s="59"/>
      <c r="G26" s="59"/>
      <c r="H26" s="27"/>
    </row>
    <row r="28" spans="1:17" ht="13.5">
      <c r="A28" s="66" t="s">
        <v>28</v>
      </c>
      <c r="I28" s="101"/>
    </row>
    <row r="29" spans="1:17" ht="13.5">
      <c r="A29" s="66" t="s">
        <v>32</v>
      </c>
    </row>
    <row r="30" spans="1:17" ht="13.5">
      <c r="A30" s="66" t="s">
        <v>50</v>
      </c>
    </row>
    <row r="31" spans="1:17">
      <c r="A31" s="67" t="s">
        <v>18</v>
      </c>
    </row>
    <row r="32" spans="1:17">
      <c r="A32" s="67" t="s">
        <v>24</v>
      </c>
    </row>
    <row r="36" spans="1:1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showZeros="0" zoomScaleNormal="100" workbookViewId="0">
      <selection activeCell="A5" sqref="A5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>
      <c r="A2" s="118" t="s">
        <v>57</v>
      </c>
      <c r="B2" s="118"/>
      <c r="C2" s="118"/>
      <c r="D2" s="118"/>
      <c r="E2" s="118"/>
      <c r="F2" s="118"/>
      <c r="G2" s="24"/>
      <c r="H2" s="25"/>
      <c r="I2" s="25"/>
    </row>
    <row r="3" spans="1:11" s="8" customFormat="1" ht="18" customHeight="1">
      <c r="A3" s="12" t="s">
        <v>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>
      <c r="A4" s="12" t="s">
        <v>2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>
      <c r="A5" s="9" t="str">
        <f>'Summary Load Customers '!A6</f>
        <v>Data as of April 30, 2018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>
      <c r="A6" s="15"/>
      <c r="B6" s="5"/>
      <c r="C6" s="16"/>
      <c r="D6" s="16"/>
      <c r="E6" s="10"/>
      <c r="F6" s="10"/>
    </row>
    <row r="7" spans="1:11" s="8" customFormat="1" ht="18" customHeight="1">
      <c r="A7" s="17"/>
      <c r="B7" s="18"/>
      <c r="C7" s="3" t="s">
        <v>3</v>
      </c>
      <c r="D7" s="11"/>
      <c r="E7" s="11"/>
      <c r="F7" s="19"/>
      <c r="G7" s="7"/>
      <c r="H7" s="7"/>
      <c r="I7" s="7"/>
      <c r="J7" s="7"/>
      <c r="K7" s="7"/>
    </row>
    <row r="8" spans="1:11" ht="25.5">
      <c r="A8" s="20"/>
      <c r="B8" s="4" t="s">
        <v>4</v>
      </c>
      <c r="C8" s="4" t="s">
        <v>5</v>
      </c>
      <c r="D8" s="4" t="s">
        <v>6</v>
      </c>
      <c r="E8" s="4" t="s">
        <v>7</v>
      </c>
      <c r="F8" s="4" t="s">
        <v>25</v>
      </c>
    </row>
    <row r="9" spans="1:11" ht="14.25" customHeight="1">
      <c r="A9" s="105">
        <v>1</v>
      </c>
      <c r="B9" s="110" t="s">
        <v>61</v>
      </c>
      <c r="C9" s="111">
        <v>291</v>
      </c>
      <c r="D9" s="111">
        <v>254</v>
      </c>
      <c r="E9" s="112">
        <f>SUM(C9:D9)</f>
        <v>545</v>
      </c>
      <c r="F9" s="21">
        <f t="shared" ref="F9:F47" si="0">IF(E9=0,"",E9/$E$53)</f>
        <v>4.5843006628309953E-3</v>
      </c>
    </row>
    <row r="10" spans="1:11" ht="14.25" customHeight="1">
      <c r="A10" s="105">
        <v>2</v>
      </c>
      <c r="B10" s="110" t="s">
        <v>58</v>
      </c>
      <c r="C10" s="111">
        <v>592</v>
      </c>
      <c r="D10" s="111">
        <v>825</v>
      </c>
      <c r="E10" s="112">
        <f t="shared" ref="E10:E53" si="1">SUM(C10:D10)</f>
        <v>1417</v>
      </c>
      <c r="F10" s="21">
        <f t="shared" si="0"/>
        <v>1.1919181723360588E-2</v>
      </c>
    </row>
    <row r="11" spans="1:11" ht="14.25" customHeight="1">
      <c r="A11" s="105">
        <v>3</v>
      </c>
      <c r="B11" s="110" t="s">
        <v>51</v>
      </c>
      <c r="C11" s="111">
        <v>11817</v>
      </c>
      <c r="D11" s="111">
        <v>778</v>
      </c>
      <c r="E11" s="112">
        <f t="shared" si="1"/>
        <v>12595</v>
      </c>
      <c r="F11" s="21">
        <f t="shared" si="0"/>
        <v>0.10594360889606676</v>
      </c>
    </row>
    <row r="12" spans="1:11" ht="14.25" customHeight="1">
      <c r="A12" s="105">
        <v>4</v>
      </c>
      <c r="B12" s="113" t="s">
        <v>55</v>
      </c>
      <c r="C12" s="111">
        <v>82</v>
      </c>
      <c r="D12" s="111">
        <v>189</v>
      </c>
      <c r="E12" s="112">
        <f t="shared" si="1"/>
        <v>271</v>
      </c>
      <c r="F12" s="21">
        <f t="shared" si="0"/>
        <v>2.2795329901416509E-3</v>
      </c>
    </row>
    <row r="13" spans="1:11" ht="14.25" customHeight="1">
      <c r="A13" s="105">
        <v>5</v>
      </c>
      <c r="B13" s="114" t="s">
        <v>62</v>
      </c>
      <c r="C13" s="111">
        <v>17</v>
      </c>
      <c r="D13" s="111">
        <v>2809</v>
      </c>
      <c r="E13" s="112">
        <f t="shared" si="1"/>
        <v>2826</v>
      </c>
      <c r="F13" s="21">
        <f t="shared" si="0"/>
        <v>2.3771070959927323E-2</v>
      </c>
    </row>
    <row r="14" spans="1:11" ht="14.25" customHeight="1">
      <c r="A14" s="105">
        <v>6</v>
      </c>
      <c r="B14" s="110" t="s">
        <v>63</v>
      </c>
      <c r="C14" s="111">
        <v>11</v>
      </c>
      <c r="D14" s="111">
        <v>135</v>
      </c>
      <c r="E14" s="112">
        <f t="shared" si="1"/>
        <v>146</v>
      </c>
      <c r="F14" s="21">
        <f t="shared" si="0"/>
        <v>1.2280878839877527E-3</v>
      </c>
    </row>
    <row r="15" spans="1:11" ht="14.25" customHeight="1">
      <c r="A15" s="105">
        <v>7</v>
      </c>
      <c r="B15" s="114" t="s">
        <v>64</v>
      </c>
      <c r="C15" s="111">
        <v>687</v>
      </c>
      <c r="D15" s="111">
        <v>17</v>
      </c>
      <c r="E15" s="112">
        <f t="shared" si="1"/>
        <v>704</v>
      </c>
      <c r="F15" s="21">
        <f t="shared" si="0"/>
        <v>5.921738837858753E-3</v>
      </c>
    </row>
    <row r="16" spans="1:11" ht="14.25" customHeight="1">
      <c r="A16" s="105">
        <v>8</v>
      </c>
      <c r="B16" s="110" t="s">
        <v>65</v>
      </c>
      <c r="C16" s="111">
        <v>9479</v>
      </c>
      <c r="D16" s="111">
        <v>649</v>
      </c>
      <c r="E16" s="112">
        <f t="shared" si="1"/>
        <v>10128</v>
      </c>
      <c r="F16" s="21">
        <f t="shared" si="0"/>
        <v>8.5192288281013426E-2</v>
      </c>
    </row>
    <row r="17" spans="1:6" ht="14.25" customHeight="1">
      <c r="A17" s="105">
        <v>9</v>
      </c>
      <c r="B17" s="110" t="s">
        <v>66</v>
      </c>
      <c r="C17" s="111">
        <v>2</v>
      </c>
      <c r="D17" s="111">
        <v>2</v>
      </c>
      <c r="E17" s="112">
        <f t="shared" si="1"/>
        <v>4</v>
      </c>
      <c r="F17" s="21">
        <f t="shared" si="0"/>
        <v>3.3646243396924736E-5</v>
      </c>
    </row>
    <row r="18" spans="1:6" ht="14.25" customHeight="1">
      <c r="A18" s="105">
        <v>10</v>
      </c>
      <c r="B18" s="110" t="s">
        <v>67</v>
      </c>
      <c r="C18" s="111">
        <v>724</v>
      </c>
      <c r="D18" s="111">
        <v>112</v>
      </c>
      <c r="E18" s="112">
        <f t="shared" si="1"/>
        <v>836</v>
      </c>
      <c r="F18" s="21">
        <f t="shared" si="0"/>
        <v>7.0320648699572696E-3</v>
      </c>
    </row>
    <row r="19" spans="1:6" ht="14.25" customHeight="1">
      <c r="A19" s="105">
        <v>11</v>
      </c>
      <c r="B19" s="110" t="s">
        <v>68</v>
      </c>
      <c r="C19" s="111"/>
      <c r="D19" s="111">
        <v>12</v>
      </c>
      <c r="E19" s="112">
        <f t="shared" si="1"/>
        <v>12</v>
      </c>
      <c r="F19" s="21">
        <f t="shared" si="0"/>
        <v>1.0093873019077419E-4</v>
      </c>
    </row>
    <row r="20" spans="1:6" ht="14.25" customHeight="1">
      <c r="A20" s="105">
        <v>12</v>
      </c>
      <c r="B20" s="110" t="s">
        <v>69</v>
      </c>
      <c r="C20" s="111">
        <v>658</v>
      </c>
      <c r="D20" s="111">
        <v>4444</v>
      </c>
      <c r="E20" s="112">
        <f t="shared" si="1"/>
        <v>5102</v>
      </c>
      <c r="F20" s="21">
        <f t="shared" si="0"/>
        <v>4.2915783452777495E-2</v>
      </c>
    </row>
    <row r="21" spans="1:6" ht="14.25" customHeight="1">
      <c r="A21" s="105">
        <v>13</v>
      </c>
      <c r="B21" s="110" t="s">
        <v>70</v>
      </c>
      <c r="C21" s="111">
        <v>8267</v>
      </c>
      <c r="D21" s="111">
        <v>803</v>
      </c>
      <c r="E21" s="112">
        <f t="shared" si="1"/>
        <v>9070</v>
      </c>
      <c r="F21" s="21">
        <f t="shared" si="0"/>
        <v>7.6292856902526837E-2</v>
      </c>
    </row>
    <row r="22" spans="1:6" ht="14.25" customHeight="1">
      <c r="A22" s="105">
        <v>14</v>
      </c>
      <c r="B22" s="110" t="s">
        <v>59</v>
      </c>
      <c r="C22" s="111">
        <v>95</v>
      </c>
      <c r="D22" s="111">
        <v>1325</v>
      </c>
      <c r="E22" s="112">
        <f t="shared" si="1"/>
        <v>1420</v>
      </c>
      <c r="F22" s="21">
        <f t="shared" si="0"/>
        <v>1.194441640590828E-2</v>
      </c>
    </row>
    <row r="23" spans="1:6" ht="14.25" customHeight="1">
      <c r="A23" s="105">
        <v>15</v>
      </c>
      <c r="B23" s="110" t="s">
        <v>71</v>
      </c>
      <c r="C23" s="111">
        <v>8764</v>
      </c>
      <c r="D23" s="111">
        <v>2684</v>
      </c>
      <c r="E23" s="112">
        <f t="shared" si="1"/>
        <v>11448</v>
      </c>
      <c r="F23" s="21">
        <f t="shared" si="0"/>
        <v>9.6295548601998585E-2</v>
      </c>
    </row>
    <row r="24" spans="1:6" ht="14.25" customHeight="1">
      <c r="A24" s="105">
        <v>16</v>
      </c>
      <c r="B24" s="110" t="s">
        <v>72</v>
      </c>
      <c r="C24" s="111">
        <v>4647</v>
      </c>
      <c r="D24" s="111">
        <v>291</v>
      </c>
      <c r="E24" s="112">
        <f t="shared" si="1"/>
        <v>4938</v>
      </c>
      <c r="F24" s="21">
        <f t="shared" si="0"/>
        <v>4.1536287473503582E-2</v>
      </c>
    </row>
    <row r="25" spans="1:6" ht="14.25" customHeight="1">
      <c r="A25" s="105">
        <v>17</v>
      </c>
      <c r="B25" s="114" t="s">
        <v>73</v>
      </c>
      <c r="C25" s="111"/>
      <c r="D25" s="111">
        <v>53</v>
      </c>
      <c r="E25" s="112">
        <f t="shared" si="1"/>
        <v>53</v>
      </c>
      <c r="F25" s="21">
        <f t="shared" si="0"/>
        <v>4.4581272500925274E-4</v>
      </c>
    </row>
    <row r="26" spans="1:6" ht="14.25" customHeight="1">
      <c r="A26" s="105">
        <v>18</v>
      </c>
      <c r="B26" s="114" t="s">
        <v>74</v>
      </c>
      <c r="C26" s="111">
        <v>4</v>
      </c>
      <c r="D26" s="111">
        <v>10</v>
      </c>
      <c r="E26" s="112">
        <f t="shared" si="1"/>
        <v>14</v>
      </c>
      <c r="F26" s="21">
        <f t="shared" si="0"/>
        <v>1.1776185188923656E-4</v>
      </c>
    </row>
    <row r="27" spans="1:6" ht="14.25" customHeight="1">
      <c r="A27" s="105">
        <v>19</v>
      </c>
      <c r="B27" s="110" t="s">
        <v>75</v>
      </c>
      <c r="C27" s="111">
        <v>580</v>
      </c>
      <c r="D27" s="111">
        <v>131</v>
      </c>
      <c r="E27" s="112">
        <f t="shared" si="1"/>
        <v>711</v>
      </c>
      <c r="F27" s="21">
        <f t="shared" si="0"/>
        <v>5.9806197638033716E-3</v>
      </c>
    </row>
    <row r="28" spans="1:6" ht="14.25" customHeight="1">
      <c r="A28" s="105">
        <v>20</v>
      </c>
      <c r="B28" s="114" t="s">
        <v>76</v>
      </c>
      <c r="C28" s="111">
        <v>1</v>
      </c>
      <c r="D28" s="111"/>
      <c r="E28" s="112">
        <f t="shared" si="1"/>
        <v>1</v>
      </c>
      <c r="F28" s="21">
        <f t="shared" si="0"/>
        <v>8.4115608492311839E-6</v>
      </c>
    </row>
    <row r="29" spans="1:6" ht="14.25" customHeight="1">
      <c r="A29" s="105">
        <v>21</v>
      </c>
      <c r="B29" s="110" t="s">
        <v>77</v>
      </c>
      <c r="C29" s="111">
        <v>95</v>
      </c>
      <c r="D29" s="111">
        <v>698</v>
      </c>
      <c r="E29" s="112">
        <f t="shared" si="1"/>
        <v>793</v>
      </c>
      <c r="F29" s="21">
        <f t="shared" si="0"/>
        <v>6.6703677534403283E-3</v>
      </c>
    </row>
    <row r="30" spans="1:6" ht="14.25" customHeight="1">
      <c r="A30" s="105">
        <v>22</v>
      </c>
      <c r="B30" s="110" t="s">
        <v>78</v>
      </c>
      <c r="C30" s="111">
        <v>262</v>
      </c>
      <c r="D30" s="111">
        <v>94</v>
      </c>
      <c r="E30" s="112">
        <f t="shared" si="1"/>
        <v>356</v>
      </c>
      <c r="F30" s="21">
        <f t="shared" si="0"/>
        <v>2.9945156623263011E-3</v>
      </c>
    </row>
    <row r="31" spans="1:6" ht="14.25" customHeight="1">
      <c r="A31" s="105">
        <v>23</v>
      </c>
      <c r="B31" s="110" t="s">
        <v>79</v>
      </c>
      <c r="C31" s="111"/>
      <c r="D31" s="111">
        <v>3</v>
      </c>
      <c r="E31" s="112">
        <f t="shared" si="1"/>
        <v>3</v>
      </c>
      <c r="F31" s="21">
        <f t="shared" si="0"/>
        <v>2.5234682547693548E-5</v>
      </c>
    </row>
    <row r="32" spans="1:6" ht="14.25" customHeight="1">
      <c r="A32" s="105">
        <v>24</v>
      </c>
      <c r="B32" s="110" t="s">
        <v>80</v>
      </c>
      <c r="C32" s="111">
        <v>697</v>
      </c>
      <c r="D32" s="111">
        <v>12</v>
      </c>
      <c r="E32" s="112">
        <f t="shared" si="1"/>
        <v>709</v>
      </c>
      <c r="F32" s="21">
        <f t="shared" si="0"/>
        <v>5.9637966421049087E-3</v>
      </c>
    </row>
    <row r="33" spans="1:7" ht="14.25" customHeight="1">
      <c r="A33" s="105">
        <v>25</v>
      </c>
      <c r="B33" s="110" t="s">
        <v>13</v>
      </c>
      <c r="C33" s="111">
        <v>3246</v>
      </c>
      <c r="D33" s="111">
        <v>224</v>
      </c>
      <c r="E33" s="112">
        <f t="shared" si="1"/>
        <v>3470</v>
      </c>
      <c r="F33" s="21">
        <f t="shared" si="0"/>
        <v>2.9188116146832206E-2</v>
      </c>
    </row>
    <row r="34" spans="1:7" ht="14.25" customHeight="1">
      <c r="A34" s="105">
        <v>26</v>
      </c>
      <c r="B34" s="110" t="s">
        <v>81</v>
      </c>
      <c r="C34" s="111">
        <v>1211</v>
      </c>
      <c r="D34" s="111">
        <v>26</v>
      </c>
      <c r="E34" s="112">
        <f t="shared" si="1"/>
        <v>1237</v>
      </c>
      <c r="F34" s="21">
        <f t="shared" si="0"/>
        <v>1.0405100770498974E-2</v>
      </c>
    </row>
    <row r="35" spans="1:7" ht="14.25" customHeight="1">
      <c r="A35" s="105">
        <v>27</v>
      </c>
      <c r="B35" s="110" t="s">
        <v>82</v>
      </c>
      <c r="C35" s="111">
        <v>179</v>
      </c>
      <c r="D35" s="111">
        <v>96</v>
      </c>
      <c r="E35" s="112">
        <f t="shared" si="1"/>
        <v>275</v>
      </c>
      <c r="F35" s="21">
        <f t="shared" si="0"/>
        <v>2.3131792335385755E-3</v>
      </c>
    </row>
    <row r="36" spans="1:7" ht="14.25" customHeight="1">
      <c r="A36" s="105">
        <v>28</v>
      </c>
      <c r="B36" s="110" t="s">
        <v>83</v>
      </c>
      <c r="C36" s="111"/>
      <c r="D36" s="111">
        <v>55</v>
      </c>
      <c r="E36" s="112">
        <f t="shared" si="1"/>
        <v>55</v>
      </c>
      <c r="F36" s="21">
        <f t="shared" si="0"/>
        <v>4.6263584670771509E-4</v>
      </c>
    </row>
    <row r="37" spans="1:7" ht="14.25" customHeight="1">
      <c r="A37" s="105">
        <v>29</v>
      </c>
      <c r="B37" s="110" t="s">
        <v>84</v>
      </c>
      <c r="C37" s="111">
        <v>613</v>
      </c>
      <c r="D37" s="111">
        <v>24</v>
      </c>
      <c r="E37" s="112">
        <f t="shared" si="1"/>
        <v>637</v>
      </c>
      <c r="F37" s="21">
        <f t="shared" si="0"/>
        <v>5.3581642609602641E-3</v>
      </c>
    </row>
    <row r="38" spans="1:7" ht="14.25" customHeight="1">
      <c r="A38" s="105">
        <v>30</v>
      </c>
      <c r="B38" s="110" t="s">
        <v>85</v>
      </c>
      <c r="C38" s="111">
        <v>236</v>
      </c>
      <c r="D38" s="111">
        <v>379</v>
      </c>
      <c r="E38" s="112">
        <f t="shared" si="1"/>
        <v>615</v>
      </c>
      <c r="F38" s="21">
        <f t="shared" si="0"/>
        <v>5.1731099222771778E-3</v>
      </c>
    </row>
    <row r="39" spans="1:7" ht="14.25" customHeight="1">
      <c r="A39" s="105">
        <v>31</v>
      </c>
      <c r="B39" s="110" t="s">
        <v>86</v>
      </c>
      <c r="C39" s="111">
        <v>10074</v>
      </c>
      <c r="D39" s="111">
        <v>245</v>
      </c>
      <c r="E39" s="112">
        <f t="shared" si="1"/>
        <v>10319</v>
      </c>
      <c r="F39" s="21">
        <f t="shared" si="0"/>
        <v>8.6798896403216586E-2</v>
      </c>
    </row>
    <row r="40" spans="1:7" ht="14.25" customHeight="1">
      <c r="A40" s="105">
        <v>32</v>
      </c>
      <c r="B40" s="110" t="s">
        <v>87</v>
      </c>
      <c r="C40" s="111">
        <v>1195</v>
      </c>
      <c r="D40" s="111">
        <v>258</v>
      </c>
      <c r="E40" s="112">
        <f t="shared" si="1"/>
        <v>1453</v>
      </c>
      <c r="F40" s="21">
        <f t="shared" si="0"/>
        <v>1.2221997913932909E-2</v>
      </c>
    </row>
    <row r="41" spans="1:7" ht="14.25" customHeight="1">
      <c r="A41" s="105">
        <v>33</v>
      </c>
      <c r="B41" s="110" t="s">
        <v>88</v>
      </c>
      <c r="C41" s="111">
        <v>1326</v>
      </c>
      <c r="D41" s="111">
        <v>79</v>
      </c>
      <c r="E41" s="112">
        <f t="shared" si="1"/>
        <v>1405</v>
      </c>
      <c r="F41" s="21">
        <f t="shared" si="0"/>
        <v>1.1818242993169813E-2</v>
      </c>
    </row>
    <row r="42" spans="1:7" ht="14.25" customHeight="1">
      <c r="A42" s="105">
        <v>34</v>
      </c>
      <c r="B42" s="110" t="s">
        <v>89</v>
      </c>
      <c r="C42" s="111">
        <v>5446</v>
      </c>
      <c r="D42" s="111">
        <v>919</v>
      </c>
      <c r="E42" s="112">
        <f t="shared" si="1"/>
        <v>6365</v>
      </c>
      <c r="F42" s="21">
        <f t="shared" si="0"/>
        <v>5.3539584805356484E-2</v>
      </c>
    </row>
    <row r="43" spans="1:7" ht="14.25" customHeight="1">
      <c r="A43" s="105">
        <v>35</v>
      </c>
      <c r="B43" s="110" t="s">
        <v>90</v>
      </c>
      <c r="C43" s="111">
        <v>4287</v>
      </c>
      <c r="D43" s="111">
        <v>958</v>
      </c>
      <c r="E43" s="112">
        <f t="shared" si="1"/>
        <v>5245</v>
      </c>
      <c r="F43" s="21">
        <f t="shared" si="0"/>
        <v>4.4118636654217558E-2</v>
      </c>
    </row>
    <row r="44" spans="1:7">
      <c r="A44" s="105">
        <v>36</v>
      </c>
      <c r="B44" s="114" t="s">
        <v>91</v>
      </c>
      <c r="C44" s="111">
        <v>3277</v>
      </c>
      <c r="D44" s="111">
        <v>199</v>
      </c>
      <c r="E44" s="112">
        <f t="shared" si="1"/>
        <v>3476</v>
      </c>
      <c r="F44" s="21">
        <f t="shared" si="0"/>
        <v>2.9238585511927592E-2</v>
      </c>
    </row>
    <row r="45" spans="1:7">
      <c r="A45" s="105">
        <v>37</v>
      </c>
      <c r="B45" s="114" t="s">
        <v>92</v>
      </c>
      <c r="C45" s="111">
        <v>2192</v>
      </c>
      <c r="D45" s="111">
        <v>272</v>
      </c>
      <c r="E45" s="112">
        <f t="shared" si="1"/>
        <v>2464</v>
      </c>
      <c r="F45" s="21">
        <f t="shared" si="0"/>
        <v>2.0726085932505637E-2</v>
      </c>
      <c r="G45" s="109"/>
    </row>
    <row r="46" spans="1:7" ht="13.5" thickBot="1">
      <c r="A46" s="105">
        <v>38</v>
      </c>
      <c r="B46" s="115" t="s">
        <v>93</v>
      </c>
      <c r="C46" s="111"/>
      <c r="D46" s="111">
        <v>13</v>
      </c>
      <c r="E46" s="112">
        <f t="shared" si="1"/>
        <v>13</v>
      </c>
      <c r="F46" s="21">
        <f t="shared" si="0"/>
        <v>1.0935029104000538E-4</v>
      </c>
    </row>
    <row r="47" spans="1:7" ht="13.5" thickTop="1">
      <c r="A47" s="105">
        <v>39</v>
      </c>
      <c r="B47" s="108" t="s">
        <v>56</v>
      </c>
      <c r="C47" s="111">
        <v>4875</v>
      </c>
      <c r="D47" s="111">
        <v>130</v>
      </c>
      <c r="E47" s="112">
        <f t="shared" si="1"/>
        <v>5005</v>
      </c>
      <c r="F47" s="21">
        <f t="shared" si="0"/>
        <v>4.2099862050402073E-2</v>
      </c>
    </row>
    <row r="48" spans="1:7">
      <c r="A48" s="105">
        <v>40</v>
      </c>
      <c r="B48" s="108" t="s">
        <v>94</v>
      </c>
      <c r="C48" s="111">
        <v>6171</v>
      </c>
      <c r="D48" s="111">
        <v>161</v>
      </c>
      <c r="E48" s="112">
        <f>SUM(C48:D48)</f>
        <v>6332</v>
      </c>
      <c r="F48" s="21"/>
    </row>
    <row r="49" spans="1:10">
      <c r="A49" s="105">
        <v>41</v>
      </c>
      <c r="B49" s="108" t="s">
        <v>95</v>
      </c>
      <c r="C49" s="111"/>
      <c r="D49" s="111">
        <v>10</v>
      </c>
      <c r="E49" s="112">
        <f t="shared" si="1"/>
        <v>10</v>
      </c>
      <c r="F49" s="21"/>
    </row>
    <row r="50" spans="1:10">
      <c r="A50" s="105">
        <v>42</v>
      </c>
      <c r="B50" s="108" t="s">
        <v>96</v>
      </c>
      <c r="C50" s="111">
        <v>3448</v>
      </c>
      <c r="D50" s="111">
        <v>67</v>
      </c>
      <c r="E50" s="112">
        <f t="shared" si="1"/>
        <v>3515</v>
      </c>
      <c r="F50" s="21"/>
    </row>
    <row r="51" spans="1:10">
      <c r="A51" s="105">
        <v>43</v>
      </c>
      <c r="B51" s="108" t="s">
        <v>97</v>
      </c>
      <c r="C51" s="111">
        <v>943</v>
      </c>
      <c r="D51" s="111">
        <v>147</v>
      </c>
      <c r="E51" s="112">
        <f t="shared" si="1"/>
        <v>1090</v>
      </c>
      <c r="F51" s="21">
        <f>IF(E51=0,"",E51/$E$53)</f>
        <v>9.1686013256619906E-3</v>
      </c>
    </row>
    <row r="52" spans="1:10">
      <c r="A52" s="105">
        <v>44</v>
      </c>
      <c r="B52" s="108" t="s">
        <v>98</v>
      </c>
      <c r="C52" s="111">
        <v>1517</v>
      </c>
      <c r="D52" s="111">
        <v>284</v>
      </c>
      <c r="E52" s="112">
        <f t="shared" si="1"/>
        <v>1801</v>
      </c>
      <c r="F52" s="21">
        <f>IF(E52=0,"",E52/$E$53)</f>
        <v>1.5149221089465361E-2</v>
      </c>
    </row>
    <row r="53" spans="1:10">
      <c r="A53" s="106"/>
      <c r="B53" s="108" t="s">
        <v>60</v>
      </c>
      <c r="C53" s="111">
        <v>98008</v>
      </c>
      <c r="D53" s="111">
        <v>20876</v>
      </c>
      <c r="E53" s="112">
        <f t="shared" si="1"/>
        <v>118884</v>
      </c>
      <c r="F53" s="21">
        <f>SUM(F9:F52)</f>
        <v>0.91708724470912806</v>
      </c>
    </row>
    <row r="54" spans="1:10">
      <c r="A54" s="1" t="s">
        <v>23</v>
      </c>
      <c r="B54" s="103"/>
    </row>
    <row r="55" spans="1:10">
      <c r="A55" s="1" t="s">
        <v>22</v>
      </c>
      <c r="J55" s="104"/>
    </row>
    <row r="56" spans="1:10">
      <c r="A56" s="1" t="s">
        <v>18</v>
      </c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B20" sqref="B20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>
      <c r="A2" s="118" t="s">
        <v>57</v>
      </c>
      <c r="B2" s="118"/>
      <c r="C2" s="118"/>
      <c r="D2" s="118"/>
      <c r="E2" s="118"/>
      <c r="F2" s="118"/>
      <c r="G2" s="118"/>
      <c r="H2" s="118"/>
      <c r="I2" s="25"/>
    </row>
    <row r="3" spans="1:9" s="8" customFormat="1" ht="18" customHeight="1">
      <c r="A3" s="22" t="s">
        <v>49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>
      <c r="A4" s="22" t="s">
        <v>48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>
      <c r="A6" s="9" t="str">
        <f>'Summary Load Customers '!A6</f>
        <v>Data as of April 30, 2018</v>
      </c>
      <c r="B6" s="25"/>
      <c r="C6" s="25"/>
      <c r="D6" s="70"/>
      <c r="E6" s="70"/>
      <c r="F6" s="70"/>
      <c r="G6" s="25"/>
      <c r="H6" s="25"/>
      <c r="I6" s="25"/>
    </row>
    <row r="7" spans="1:9" ht="18" customHeight="1">
      <c r="B7" s="27"/>
      <c r="C7" s="27"/>
      <c r="D7" s="58"/>
      <c r="E7" s="58"/>
      <c r="F7" s="59"/>
      <c r="G7" s="59"/>
      <c r="H7" s="27"/>
    </row>
    <row r="8" spans="1:9" ht="18" customHeight="1">
      <c r="A8" s="60" t="s">
        <v>42</v>
      </c>
      <c r="B8" s="61"/>
      <c r="C8" s="61"/>
      <c r="D8" s="62"/>
      <c r="E8" s="62"/>
      <c r="F8" s="63"/>
      <c r="G8" s="63"/>
      <c r="H8" s="61"/>
      <c r="I8" s="64"/>
    </row>
    <row r="9" spans="1:9" ht="18" customHeight="1">
      <c r="B9" s="27"/>
      <c r="C9" s="27"/>
      <c r="D9" s="58"/>
      <c r="E9" s="58"/>
      <c r="F9" s="65"/>
      <c r="G9" s="65"/>
      <c r="H9" s="27"/>
    </row>
    <row r="10" spans="1:9" ht="18" customHeight="1">
      <c r="A10" s="28" t="s">
        <v>53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>
      <c r="A11" s="39"/>
      <c r="B11" s="31" t="s">
        <v>5</v>
      </c>
      <c r="C11" s="51"/>
      <c r="D11" s="31" t="s">
        <v>26</v>
      </c>
      <c r="E11" s="52"/>
      <c r="F11" s="31" t="s">
        <v>33</v>
      </c>
      <c r="G11" s="33"/>
    </row>
    <row r="12" spans="1:9" ht="18" customHeight="1">
      <c r="A12" s="36"/>
      <c r="B12" s="37" t="s">
        <v>14</v>
      </c>
      <c r="C12" s="38" t="s">
        <v>20</v>
      </c>
      <c r="D12" s="37" t="str">
        <f>B12</f>
        <v>Customers</v>
      </c>
      <c r="E12" s="38" t="s">
        <v>20</v>
      </c>
      <c r="F12" s="37" t="str">
        <f>B12</f>
        <v>Customers</v>
      </c>
      <c r="G12" s="38" t="s">
        <v>19</v>
      </c>
    </row>
    <row r="13" spans="1:9" ht="18" customHeight="1">
      <c r="A13" s="39" t="s">
        <v>44</v>
      </c>
      <c r="B13" s="42">
        <f>REC_programs_detail!B23</f>
        <v>3650</v>
      </c>
      <c r="C13" s="43">
        <f>IF(B13=0,0,B13/'Summary Load Customers '!$B$22)</f>
        <v>1.2167153352800778E-2</v>
      </c>
      <c r="D13" s="42">
        <f>REC_programs_detail!C23</f>
        <v>41</v>
      </c>
      <c r="E13" s="43">
        <f>IF(D13=0,0,D13/('Summary Load Customers '!$D$22+'Summary Load Customers '!$F$22))</f>
        <v>1.2117271545099893E-3</v>
      </c>
      <c r="F13" s="42">
        <f>B13+D13</f>
        <v>3691</v>
      </c>
      <c r="G13" s="43">
        <f>IF(F13=0,0,F13/'Summary Load Customers '!$H$22)</f>
        <v>1.1056724501533742E-2</v>
      </c>
    </row>
    <row r="14" spans="1:9" ht="15.75" customHeight="1">
      <c r="G14" s="49"/>
      <c r="H14" s="27"/>
    </row>
    <row r="15" spans="1:9" ht="15.75" customHeight="1">
      <c r="A15" s="99" t="str">
        <f>"As the above table shows, "&amp;TEXT(F13,"0,000")&amp;" of UI's customers, or "&amp;TEXT(G13,"0.0%")&amp;" are participating in the CTCleanEnergyOptions Program."</f>
        <v>As the above table shows, 3,691 of UI's customers, or 1.1% are participating in the CTCleanEnergyOptions Program.</v>
      </c>
      <c r="G15" s="49"/>
      <c r="H15" s="27"/>
    </row>
    <row r="16" spans="1:9" ht="15.75" customHeight="1">
      <c r="G16" s="49"/>
      <c r="H16" s="27"/>
    </row>
    <row r="17" spans="1:9" ht="18" customHeight="1">
      <c r="A17" s="28" t="s">
        <v>43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>
      <c r="A18" s="39"/>
      <c r="B18" s="31" t="s">
        <v>5</v>
      </c>
      <c r="C18" s="51"/>
      <c r="D18" s="31" t="s">
        <v>26</v>
      </c>
      <c r="E18" s="52"/>
      <c r="F18" s="31" t="s">
        <v>33</v>
      </c>
      <c r="G18" s="33"/>
    </row>
    <row r="19" spans="1:9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B19</f>
        <v>Customers</v>
      </c>
      <c r="G19" s="38" t="s">
        <v>19</v>
      </c>
    </row>
    <row r="20" spans="1:9" ht="18" customHeight="1">
      <c r="A20" s="39" t="s">
        <v>45</v>
      </c>
      <c r="B20" s="42">
        <f>REC_programs_detail!B29</f>
        <v>673</v>
      </c>
      <c r="C20" s="43">
        <f>IF(B20=0,0,B20/'Summary Load Customers '!$B$22)</f>
        <v>2.2434230702561434E-3</v>
      </c>
      <c r="D20" s="42">
        <f>REC_programs_detail!C29</f>
        <v>60</v>
      </c>
      <c r="E20" s="43">
        <f>IF(D20=0,0,D20/('Summary Load Customers '!$D$22+'Summary Load Customers '!$F$22))</f>
        <v>1.7732592505024234E-3</v>
      </c>
      <c r="F20" s="42">
        <f>B20+D20</f>
        <v>733</v>
      </c>
      <c r="G20" s="43">
        <f>IF(F20=0,0,F20/'Summary Load Customers '!$H$22)</f>
        <v>2.1957678297546013E-3</v>
      </c>
    </row>
    <row r="21" spans="1:9" ht="18" customHeight="1">
      <c r="B21" s="48"/>
      <c r="C21" s="47"/>
      <c r="D21" s="48"/>
      <c r="E21" s="47"/>
      <c r="F21" s="48"/>
      <c r="G21" s="47"/>
      <c r="H21" s="48"/>
      <c r="I21" s="47"/>
    </row>
    <row r="22" spans="1:9" ht="18" customHeight="1">
      <c r="A22" s="99" t="str">
        <f>"As the above table shows, "&amp;TEXT(F20,"0,000")&amp;" of UI's customers, or "&amp;TEXT(G20,"0.0%")&amp;" are participating in the REC only program."</f>
        <v>As the above table shows, 0,733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>
      <c r="A23" s="45"/>
    </row>
    <row r="24" spans="1:9" ht="15">
      <c r="A24" s="28" t="s">
        <v>47</v>
      </c>
      <c r="B24" s="29"/>
      <c r="C24" s="29"/>
      <c r="D24" s="29"/>
      <c r="E24" s="29"/>
      <c r="F24" s="29"/>
      <c r="G24" s="50"/>
      <c r="H24" s="24"/>
      <c r="I24" s="25"/>
    </row>
    <row r="25" spans="1:9" ht="15">
      <c r="A25" s="39"/>
      <c r="B25" s="31" t="s">
        <v>5</v>
      </c>
      <c r="C25" s="51"/>
      <c r="D25" s="31" t="s">
        <v>26</v>
      </c>
      <c r="E25" s="52"/>
      <c r="F25" s="31" t="s">
        <v>33</v>
      </c>
      <c r="G25" s="33"/>
    </row>
    <row r="26" spans="1:9" ht="15">
      <c r="A26" s="36"/>
      <c r="B26" s="37" t="s">
        <v>14</v>
      </c>
      <c r="C26" s="38" t="s">
        <v>20</v>
      </c>
      <c r="D26" s="37" t="str">
        <f>B26</f>
        <v>Customers</v>
      </c>
      <c r="E26" s="38" t="s">
        <v>20</v>
      </c>
      <c r="F26" s="37" t="str">
        <f>B26</f>
        <v>Customers</v>
      </c>
      <c r="G26" s="38" t="s">
        <v>19</v>
      </c>
    </row>
    <row r="27" spans="1:9" ht="14.25">
      <c r="A27" s="39" t="s">
        <v>46</v>
      </c>
      <c r="B27" s="42">
        <f>B13+B20</f>
        <v>4323</v>
      </c>
      <c r="C27" s="43">
        <f>IF(B27=0,0,B27/'Summary Load Customers '!$B$22)</f>
        <v>1.4410576423056922E-2</v>
      </c>
      <c r="D27" s="42">
        <f>D13+D20</f>
        <v>101</v>
      </c>
      <c r="E27" s="43">
        <f>IF(D27=0,0,D27/('Summary Load Customers '!$D$22+'Summary Load Customers '!$F$22))</f>
        <v>2.9849864050124127E-3</v>
      </c>
      <c r="F27" s="42">
        <f>B27+D27</f>
        <v>4424</v>
      </c>
      <c r="G27" s="43">
        <f>IF(F27=0,0,F27/'Summary Load Customers '!$H$22)</f>
        <v>1.3252492331288343E-2</v>
      </c>
    </row>
    <row r="28" spans="1:9" ht="15">
      <c r="G28" s="49"/>
      <c r="H28" s="27"/>
    </row>
    <row r="29" spans="1:9" ht="15">
      <c r="A29" s="99" t="str">
        <f>"As the above table shows, "&amp;TEXT(F27,"0,000")&amp;" of UI's customers, or "&amp;TEXT(G27,"0.0%")&amp;" are participating in the combined REC programs."</f>
        <v>As the above table shows, 4,424 of UI's customers, or 1.3% are participating in the combined REC programs.</v>
      </c>
      <c r="G29" s="49"/>
      <c r="H29" s="27"/>
    </row>
    <row r="31" spans="1:9" ht="13.5">
      <c r="A31" s="66" t="s">
        <v>32</v>
      </c>
    </row>
    <row r="32" spans="1:9" ht="13.5">
      <c r="A32" s="66"/>
    </row>
    <row r="33" spans="1:1" ht="13.5">
      <c r="A33" s="66" t="s">
        <v>54</v>
      </c>
    </row>
    <row r="34" spans="1:1">
      <c r="A34" s="67" t="s">
        <v>52</v>
      </c>
    </row>
    <row r="36" spans="1:1">
      <c r="A36" s="67" t="s">
        <v>18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zoomScale="110" zoomScaleNormal="110" workbookViewId="0">
      <selection activeCell="C29" sqref="C29"/>
    </sheetView>
  </sheetViews>
  <sheetFormatPr defaultColWidth="9.140625" defaultRowHeight="11.25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>
      <c r="A1" s="119" t="str">
        <f>'Summary Load Customers '!A1</f>
        <v>The United Illuminating Company</v>
      </c>
      <c r="B1" s="119"/>
      <c r="C1" s="119"/>
      <c r="D1" s="119"/>
      <c r="E1" s="71"/>
      <c r="F1" s="71"/>
      <c r="G1" s="72"/>
    </row>
    <row r="2" spans="1:9" s="8" customFormat="1" ht="18" customHeight="1">
      <c r="A2" s="120" t="s">
        <v>57</v>
      </c>
      <c r="B2" s="120"/>
      <c r="C2" s="120"/>
      <c r="D2" s="120"/>
      <c r="E2" s="23"/>
      <c r="F2" s="23"/>
      <c r="G2" s="24"/>
      <c r="H2" s="25"/>
      <c r="I2" s="25"/>
    </row>
    <row r="3" spans="1:9" s="73" customFormat="1" ht="15" customHeight="1">
      <c r="A3" s="119" t="s">
        <v>35</v>
      </c>
      <c r="B3" s="119"/>
      <c r="C3" s="119"/>
      <c r="D3" s="119"/>
      <c r="E3" s="71"/>
      <c r="F3" s="71"/>
      <c r="G3" s="72"/>
    </row>
    <row r="4" spans="1:9" s="73" customFormat="1" ht="15" customHeight="1">
      <c r="A4" s="119" t="s">
        <v>2</v>
      </c>
      <c r="B4" s="119"/>
      <c r="C4" s="119"/>
      <c r="D4" s="119"/>
      <c r="E4" s="71"/>
      <c r="F4" s="71"/>
      <c r="G4" s="72"/>
    </row>
    <row r="5" spans="1:9" s="73" customFormat="1" ht="15" customHeight="1">
      <c r="A5" s="119" t="str">
        <f>'Summary Load Customers '!A6</f>
        <v>Data as of April 30, 2018</v>
      </c>
      <c r="B5" s="119"/>
      <c r="C5" s="119"/>
      <c r="D5" s="119"/>
      <c r="E5" s="71"/>
      <c r="F5" s="71"/>
      <c r="G5" s="72"/>
    </row>
    <row r="6" spans="1:9">
      <c r="C6" s="75"/>
      <c r="D6" s="75"/>
      <c r="E6" s="75"/>
      <c r="F6" s="75"/>
      <c r="G6" s="75"/>
    </row>
    <row r="7" spans="1:9" s="81" customFormat="1" ht="22.5">
      <c r="A7" s="76" t="s">
        <v>37</v>
      </c>
      <c r="B7" s="77" t="s">
        <v>5</v>
      </c>
      <c r="C7" s="76" t="s">
        <v>6</v>
      </c>
      <c r="D7" s="76" t="s">
        <v>33</v>
      </c>
      <c r="E7" s="78"/>
      <c r="F7" s="78"/>
      <c r="G7" s="79"/>
      <c r="H7" s="80"/>
    </row>
    <row r="8" spans="1:9">
      <c r="A8" s="82" t="s">
        <v>36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>
      <c r="A9" s="82" t="s">
        <v>15</v>
      </c>
      <c r="B9" s="84">
        <v>135</v>
      </c>
      <c r="C9" s="84">
        <v>2</v>
      </c>
      <c r="D9" s="85">
        <f>SUM(B9:C9)</f>
        <v>137</v>
      </c>
      <c r="E9" s="87"/>
      <c r="F9" s="87"/>
      <c r="G9" s="86"/>
      <c r="H9" s="75"/>
    </row>
    <row r="10" spans="1:9">
      <c r="A10" s="82" t="s">
        <v>16</v>
      </c>
      <c r="B10" s="84">
        <v>2994</v>
      </c>
      <c r="C10" s="84">
        <v>36</v>
      </c>
      <c r="D10" s="85">
        <f>SUM(B10:C10)</f>
        <v>3030</v>
      </c>
      <c r="E10" s="88"/>
      <c r="F10" s="89"/>
      <c r="G10" s="86"/>
      <c r="H10" s="75"/>
    </row>
    <row r="11" spans="1:9">
      <c r="A11" s="90" t="s">
        <v>7</v>
      </c>
      <c r="B11" s="91">
        <f>IF(B9+B10=0,0,B9+B10)</f>
        <v>3129</v>
      </c>
      <c r="C11" s="91">
        <f>IF(SUM(C8:C10)=0,0,SUM(C8:C10))</f>
        <v>38</v>
      </c>
      <c r="D11" s="91">
        <f>IF(SUM(D8:D10)=0,0,SUM(D8:D10))</f>
        <v>3167</v>
      </c>
      <c r="E11" s="88"/>
      <c r="F11" s="89"/>
      <c r="G11" s="86"/>
      <c r="H11" s="75"/>
    </row>
    <row r="12" spans="1:9">
      <c r="A12" s="75"/>
      <c r="B12" s="92"/>
      <c r="C12" s="92"/>
      <c r="D12" s="92"/>
      <c r="E12" s="88"/>
      <c r="F12" s="89"/>
      <c r="G12" s="93"/>
      <c r="H12" s="75"/>
    </row>
    <row r="13" spans="1:9" ht="22.5">
      <c r="A13" s="76" t="s">
        <v>40</v>
      </c>
      <c r="B13" s="76" t="s">
        <v>5</v>
      </c>
      <c r="C13" s="76" t="str">
        <f>C7</f>
        <v>Business</v>
      </c>
      <c r="D13" s="76" t="s">
        <v>33</v>
      </c>
      <c r="E13" s="94"/>
      <c r="F13" s="95"/>
      <c r="G13" s="93"/>
      <c r="H13" s="75"/>
    </row>
    <row r="14" spans="1:9">
      <c r="A14" s="82" t="s">
        <v>36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>
      <c r="A15" s="82" t="s">
        <v>15</v>
      </c>
      <c r="B15" s="84">
        <v>3</v>
      </c>
      <c r="C15" s="84">
        <v>0</v>
      </c>
      <c r="D15" s="85">
        <f>SUM(B15:C15)</f>
        <v>3</v>
      </c>
      <c r="E15" s="87"/>
      <c r="F15" s="87"/>
      <c r="G15" s="86"/>
      <c r="H15" s="75"/>
    </row>
    <row r="16" spans="1:9">
      <c r="A16" s="82" t="s">
        <v>16</v>
      </c>
      <c r="B16" s="84">
        <v>518</v>
      </c>
      <c r="C16" s="84">
        <v>3</v>
      </c>
      <c r="D16" s="85">
        <f>SUM(B16:C16)</f>
        <v>521</v>
      </c>
      <c r="E16" s="88"/>
      <c r="F16" s="89"/>
      <c r="G16" s="86"/>
      <c r="H16" s="75"/>
    </row>
    <row r="17" spans="1:8">
      <c r="A17" s="90" t="str">
        <f>A11</f>
        <v>Total</v>
      </c>
      <c r="B17" s="91">
        <f>IF(B15+B16=0,0,B15+B16)</f>
        <v>521</v>
      </c>
      <c r="C17" s="91">
        <f>IF(SUM(C14:C16)=0,0,SUM(C14:C16))</f>
        <v>3</v>
      </c>
      <c r="D17" s="91">
        <f>IF(SUM(D14:D16)=0,0,SUM(D14:D16))</f>
        <v>524</v>
      </c>
      <c r="E17" s="88"/>
      <c r="F17" s="89"/>
      <c r="G17" s="86"/>
      <c r="H17" s="75"/>
    </row>
    <row r="18" spans="1:8">
      <c r="A18" s="75"/>
      <c r="B18" s="75"/>
      <c r="C18" s="75"/>
      <c r="D18" s="75"/>
      <c r="E18" s="88"/>
      <c r="F18" s="89"/>
      <c r="G18" s="93"/>
      <c r="H18" s="75"/>
    </row>
    <row r="19" spans="1:8" ht="22.5">
      <c r="A19" s="76" t="s">
        <v>41</v>
      </c>
      <c r="B19" s="76" t="s">
        <v>5</v>
      </c>
      <c r="C19" s="76" t="str">
        <f>C7</f>
        <v>Business</v>
      </c>
      <c r="D19" s="76" t="s">
        <v>33</v>
      </c>
      <c r="E19" s="94"/>
      <c r="F19" s="95"/>
      <c r="G19" s="93"/>
      <c r="H19" s="75"/>
    </row>
    <row r="20" spans="1:8">
      <c r="A20" s="82" t="s">
        <v>36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>
      <c r="A21" s="82" t="s">
        <v>15</v>
      </c>
      <c r="B21" s="96">
        <f>IF(B9+B15=0,0,B9+B15)</f>
        <v>138</v>
      </c>
      <c r="C21" s="96">
        <f>IF(C9+C15=0,0,C9+C15)</f>
        <v>2</v>
      </c>
      <c r="D21" s="85">
        <f t="shared" si="0"/>
        <v>140</v>
      </c>
      <c r="E21" s="86"/>
      <c r="F21" s="93"/>
      <c r="G21" s="93"/>
      <c r="H21" s="75"/>
    </row>
    <row r="22" spans="1:8">
      <c r="A22" s="82" t="s">
        <v>16</v>
      </c>
      <c r="B22" s="96">
        <f>IF(B10+B16=0,0,B10+B16)</f>
        <v>3512</v>
      </c>
      <c r="C22" s="96">
        <f>IF(C10+C16=0,0,C10+C16)</f>
        <v>39</v>
      </c>
      <c r="D22" s="85">
        <f>IF(D10+D16=0,0,D10+D16)</f>
        <v>3551</v>
      </c>
      <c r="E22" s="75"/>
      <c r="F22" s="93"/>
      <c r="G22" s="93"/>
      <c r="H22" s="75"/>
    </row>
    <row r="23" spans="1:8">
      <c r="A23" s="90" t="str">
        <f>A11</f>
        <v>Total</v>
      </c>
      <c r="B23" s="91">
        <f>IF(B21+B22=0,0,B21+B22)</f>
        <v>3650</v>
      </c>
      <c r="C23" s="91">
        <f>IF(SUM(C20:C22)=0,0,SUM(C20:C22))</f>
        <v>41</v>
      </c>
      <c r="D23" s="91">
        <f>SUM(D20:D22)</f>
        <v>3691</v>
      </c>
      <c r="E23" s="75"/>
      <c r="F23" s="93"/>
      <c r="G23" s="93"/>
      <c r="H23" s="75"/>
    </row>
    <row r="24" spans="1:8">
      <c r="B24" s="75"/>
      <c r="C24" s="75"/>
      <c r="E24" s="75"/>
      <c r="F24" s="93"/>
      <c r="G24" s="93"/>
      <c r="H24" s="75"/>
    </row>
    <row r="25" spans="1:8" ht="22.5">
      <c r="A25" s="76" t="s">
        <v>38</v>
      </c>
      <c r="B25" s="76" t="s">
        <v>5</v>
      </c>
      <c r="C25" s="76" t="s">
        <v>6</v>
      </c>
      <c r="D25" s="76" t="s">
        <v>33</v>
      </c>
    </row>
    <row r="26" spans="1:8">
      <c r="A26" s="82" t="s">
        <v>36</v>
      </c>
      <c r="B26" s="83"/>
      <c r="C26" s="96">
        <f>IF(C14+C20=0,0,C14+C20)</f>
        <v>0</v>
      </c>
      <c r="D26" s="85">
        <f>IF(C26=0,0,C26)</f>
        <v>0</v>
      </c>
    </row>
    <row r="27" spans="1:8">
      <c r="A27" s="82" t="s">
        <v>15</v>
      </c>
      <c r="B27" s="84">
        <v>194</v>
      </c>
      <c r="C27" s="84">
        <v>11</v>
      </c>
      <c r="D27" s="85">
        <f>SUM(B27:C27)</f>
        <v>205</v>
      </c>
    </row>
    <row r="28" spans="1:8">
      <c r="A28" s="82" t="s">
        <v>16</v>
      </c>
      <c r="B28" s="84">
        <v>479</v>
      </c>
      <c r="C28" s="84">
        <v>49</v>
      </c>
      <c r="D28" s="85">
        <f>SUM(B28:C28)</f>
        <v>528</v>
      </c>
    </row>
    <row r="29" spans="1:8">
      <c r="A29" s="90" t="str">
        <f>A23</f>
        <v>Total</v>
      </c>
      <c r="B29" s="116">
        <f>IF(B27+B28=0,0,B27+B28)</f>
        <v>673</v>
      </c>
      <c r="C29" s="91">
        <f>IF(SUM(C26:C28)=0,0,SUM(C26:C28))</f>
        <v>60</v>
      </c>
      <c r="D29" s="91">
        <f>IF(SUM(D26:D28)=0,0,SUM(D26:D28))</f>
        <v>733</v>
      </c>
    </row>
    <row r="31" spans="1:8">
      <c r="A31" s="76" t="s">
        <v>39</v>
      </c>
      <c r="B31" s="76" t="s">
        <v>5</v>
      </c>
      <c r="C31" s="76" t="str">
        <f>C19</f>
        <v>Business</v>
      </c>
      <c r="D31" s="76" t="s">
        <v>33</v>
      </c>
    </row>
    <row r="32" spans="1:8">
      <c r="A32" s="82" t="s">
        <v>36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>
      <c r="A33" s="82" t="s">
        <v>15</v>
      </c>
      <c r="B33" s="96">
        <f>B21+B27</f>
        <v>332</v>
      </c>
      <c r="C33" s="96">
        <f t="shared" si="1"/>
        <v>13</v>
      </c>
      <c r="D33" s="85">
        <f t="shared" si="1"/>
        <v>345</v>
      </c>
      <c r="E33" s="75"/>
      <c r="F33" s="75"/>
      <c r="G33" s="75"/>
    </row>
    <row r="34" spans="1:7">
      <c r="A34" s="82" t="s">
        <v>16</v>
      </c>
      <c r="B34" s="96">
        <f>B22+B28</f>
        <v>3991</v>
      </c>
      <c r="C34" s="96">
        <f t="shared" si="1"/>
        <v>88</v>
      </c>
      <c r="D34" s="85">
        <f t="shared" si="1"/>
        <v>4079</v>
      </c>
    </row>
    <row r="35" spans="1:7">
      <c r="A35" s="90" t="str">
        <f>A29</f>
        <v>Total</v>
      </c>
      <c r="B35" s="91">
        <f>IF(B33+B34=0,0,B33+B34)</f>
        <v>4323</v>
      </c>
      <c r="C35" s="91">
        <f>IF(SUM(C32:C34)=0,0,SUM(C32:C34))</f>
        <v>101</v>
      </c>
      <c r="D35" s="91">
        <f>SUM(D32:D34)</f>
        <v>4424</v>
      </c>
    </row>
    <row r="37" spans="1:7">
      <c r="A37" s="97" t="str">
        <f>"In summary, "&amp;TEXT($D$23,"0,000")&amp; " of UI's customers are participating in the CTCleanEnergyOptions Program"</f>
        <v>In summary, 3,691 of UI's customers are participating in the CTCleanEnergyOptions Program</v>
      </c>
    </row>
    <row r="38" spans="1:7">
      <c r="A38" s="97" t="str">
        <f>"In summary, "&amp;TEXT($D$29,"000")&amp; " of UI's customers are participating in RECs only with Sterling Planet"</f>
        <v>In summary, 733 of UI's customers are participating in RECs only with Sterling Planet</v>
      </c>
    </row>
    <row r="39" spans="1:7">
      <c r="A39" s="97" t="str">
        <f>"In summary, "&amp;TEXT($D$35,"0,000")&amp; " of UI's customers are participating in all REC programs"</f>
        <v>In summary, 4,424 of UI's customers are participating in all REC programs</v>
      </c>
    </row>
    <row r="41" spans="1:7">
      <c r="A41" s="98" t="s">
        <v>21</v>
      </c>
    </row>
    <row r="42" spans="1:7">
      <c r="A42" s="75" t="s">
        <v>17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Cheryl DeFrancesco</cp:lastModifiedBy>
  <cp:lastPrinted>2018-02-15T14:56:05Z</cp:lastPrinted>
  <dcterms:created xsi:type="dcterms:W3CDTF">2009-03-17T13:14:28Z</dcterms:created>
  <dcterms:modified xsi:type="dcterms:W3CDTF">2018-10-16T17:26:02Z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2018-01-19 UI ATSO Switches to Alternate Suppliers Attachment 1 06-10-22.xlsx</vt:lpwstr>
  </property>
  <property fmtid="{D5CDD505-2E9C-101B-9397-08002B2CF9AE}" pid="3" name="_AdHocReviewCycleID">
    <vt:i4>-826626897</vt:i4>
  </property>
  <property fmtid="{D5CDD505-2E9C-101B-9397-08002B2CF9AE}" pid="4" name="_NewReviewCycle">
    <vt:lpwstr/>
  </property>
  <property fmtid="{D5CDD505-2E9C-101B-9397-08002B2CF9AE}" pid="5" name="_EmailSubject">
    <vt:lpwstr>Webfiles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</Properties>
</file>