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B21" i="7" l="1"/>
  <c r="F20" i="7"/>
  <c r="D20" i="7"/>
  <c r="F21" i="7"/>
  <c r="D21" i="7"/>
  <c r="B20" i="7"/>
  <c r="B12" i="7"/>
  <c r="F11" i="7"/>
  <c r="D11" i="7"/>
  <c r="F12" i="7"/>
  <c r="D12" i="7"/>
  <c r="B11" i="7"/>
  <c r="F52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B13" i="7" l="1"/>
  <c r="H12" i="7"/>
  <c r="C11" i="7" l="1"/>
  <c r="C12" i="7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<sst xmlns="http://schemas.openxmlformats.org/spreadsheetml/2006/main" count="165" uniqueCount="99">
  <si>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</si>
  <si>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</si>
  <si>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</si>
  <si>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</si>
  <si>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</si>
  <si>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</si>
  <si>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</si>
  <si>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</si>
  <si>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</si>
  <si>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</si>
  <si>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</si>
  <si>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</si>
  <si>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</si>
  <si>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</si>
  <si>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</si>
  <si>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</si>
  <si>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</si>
  <si>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</si>
  <si>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</si>
  <si>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</si>
  <si>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</si>
  <si>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</si>
  <si>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</si>
  <si>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</si>
  <si>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</si>
  <si>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</si>
  <si>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</si>
  <si>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</si>
  <si>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</si>
  <si>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</si>
  <si>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</si>
  <si>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</si>
  <si>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</si>
  <si>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</si>
  <si>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</si>
  <si>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</si>
  <si>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</si>
  <si>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</si>
  <si>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</si>
  <si>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</si>
  <si>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</si>
  <si>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</si>
  <si>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</si>
  <si>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</si>
  <si>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</si>
  <si>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</si>
  <si>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</si>
  <si>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</si>
  <si>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</si>
  <si>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</si>
  <si>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</si>
  <si>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</si>
  <si>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</si>
  <si>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</si>
  <si>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</si>
  <si>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</si>
  <si>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</si>
  <si>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</si>
  <si>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</si>
  <si>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</si>
  <si>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</si>
  <si>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</si>
  <si>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</si>
  <si>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</si>
  <si>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</si>
  <si>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</si>
  <si>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</si>
  <si>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</si>
  <si>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</si>
  <si>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</si>
  <si>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</si>
  <si>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</si>
  <si>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</si>
  <si>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</si>
  <si>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</si>
  <si>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</si>
  <si>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</si>
  <si>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</si>
  <si>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</si>
  <si>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</si>
  <si>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</si>
  <si>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</si>
  <si>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Mint Energy, LLC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</si>
  <si>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</si>
  <si>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</si>
  <si>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</si>
  <si>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</si>
  <si>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</si>
  <si>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</si>
  <si>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</si>
  <si>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</si>
  <si>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</si>
  <si>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</si>
  <si>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</si>
  <si>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</si>
  <si>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</si>
  <si>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</si>
  <si>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Data as of July 31, 2018</t>
  </si>
  <si>
    <t>Wattifi,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</si>
</sst>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2" xfId="0" applyBorder="1"/>
    <xf numFmtId="166" fontId="0" fillId="0" borderId="2" xfId="6" applyNumberFormat="1" applyFont="1" applyBorder="1"/>
    <xf numFmtId="166" fontId="0" fillId="0" borderId="1" xfId="6" applyNumberFormat="1" applyFon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7">
    <cellStyle name="Comma" xfId="6" builtinId="3"/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7_Jul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07_July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84529.148999999947</v>
          </cell>
        </row>
        <row r="25">
          <cell r="H25">
            <v>161564.49899999989</v>
          </cell>
        </row>
        <row r="26">
          <cell r="H26">
            <v>92290.21100000001</v>
          </cell>
        </row>
        <row r="29">
          <cell r="H29">
            <v>158549.78899999999</v>
          </cell>
        </row>
        <row r="30">
          <cell r="H30">
            <v>54351.927999999993</v>
          </cell>
        </row>
        <row r="31">
          <cell r="H31">
            <v>10255.559000000001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96037</v>
          </cell>
        </row>
        <row r="19">
          <cell r="B19">
            <v>20718</v>
          </cell>
        </row>
        <row r="20">
          <cell r="B20">
            <v>215</v>
          </cell>
        </row>
        <row r="22">
          <cell r="B22">
            <v>202987</v>
          </cell>
        </row>
        <row r="23">
          <cell r="B23">
            <v>17097</v>
          </cell>
        </row>
        <row r="24">
          <cell r="B24">
            <v>24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97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84529.148999999947</v>
      </c>
      <c r="C11" s="40">
        <f>IF(B11=0,0,B11/$B$13)</f>
        <v>0.34774361652016089</v>
      </c>
      <c r="D11" s="68">
        <f>[1]Check!$H$25</f>
        <v>161564.49899999989</v>
      </c>
      <c r="E11" s="40">
        <f>IF(D11=0,0,D11/$D$13)</f>
        <v>0.74827330761637689</v>
      </c>
      <c r="F11" s="68">
        <f>[1]Check!$H$26</f>
        <v>92290.21100000001</v>
      </c>
      <c r="G11" s="40">
        <f>IF(F11=0,0,F11/$F$13)</f>
        <v>0.89999042378832395</v>
      </c>
      <c r="H11" s="41">
        <f>IF(B11+D11+F11=0,0,B11+D11+F11)</f>
        <v>338383.85899999982</v>
      </c>
      <c r="I11" s="40">
        <f>IF(H11=0,0,H11/$H$13)</f>
        <v>0.60259852379291845</v>
      </c>
    </row>
    <row r="12" spans="1:15" ht="18" customHeight="1">
      <c r="A12" s="39" t="s">
        <v>12</v>
      </c>
      <c r="B12" s="69">
        <f>[1]Check!$H$29</f>
        <v>158549.78899999999</v>
      </c>
      <c r="C12" s="40">
        <f>IF(B12=0,0,B12/$B$13)</f>
        <v>0.65225638347983905</v>
      </c>
      <c r="D12" s="69">
        <f>[1]Check!$H$30</f>
        <v>54351.927999999993</v>
      </c>
      <c r="E12" s="40">
        <f>IF(D12=0,0,D12/$D$13)</f>
        <v>0.25172669238362316</v>
      </c>
      <c r="F12" s="69">
        <f>[1]Check!$H$31</f>
        <v>10255.559000000001</v>
      </c>
      <c r="G12" s="40">
        <f>IF(F12=0,0,F12/$F$13)</f>
        <v>0.10000957621167601</v>
      </c>
      <c r="H12" s="102">
        <f>IF(B12+D12+F12=0,0,B12+D12+F12)</f>
        <v>223157.27599999998</v>
      </c>
      <c r="I12" s="40">
        <f>IF(H12=0,0,H12/$H$13)</f>
        <v>0.39740147620708155</v>
      </c>
    </row>
    <row r="13" spans="1:15" ht="18" customHeight="1">
      <c r="A13" s="107" t="s">
        <v>7</v>
      </c>
      <c r="B13" s="42">
        <f>SUM(B11:B12)</f>
        <v>243078.93799999994</v>
      </c>
      <c r="C13" s="43"/>
      <c r="D13" s="42">
        <f>SUM(D11:D12)</f>
        <v>215916.42699999988</v>
      </c>
      <c r="E13" s="43"/>
      <c r="F13" s="42">
        <f>SUM(F11:F12)</f>
        <v>102545.77000000002</v>
      </c>
      <c r="G13" s="43"/>
      <c r="H13" s="42">
        <f>IF(H11+H12=0,0,H11+H12)</f>
        <v>561541.13499999978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338,384 MWh, or 60.3%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223,157 MHh, or 39.7%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96037</v>
      </c>
      <c r="C20" s="40">
        <f>IF(B20=0,0,B20/$B$22)</f>
        <v>0.32116820054577561</v>
      </c>
      <c r="D20" s="68">
        <f>[2]Summary!$B$19</f>
        <v>20718</v>
      </c>
      <c r="E20" s="53">
        <f>IF(D20=0,0,D20/$D$22)</f>
        <v>0.54787782625942083</v>
      </c>
      <c r="F20" s="68">
        <f>[2]Summary!$B$20</f>
        <v>215</v>
      </c>
      <c r="G20" s="40">
        <f>IF(F20=0,0,F20/$F$22)</f>
        <v>0.89958158995815896</v>
      </c>
      <c r="H20" s="41">
        <f>IF(B20+D20+F20=0,0,B20+D20+F20)</f>
        <v>116970</v>
      </c>
      <c r="I20" s="40">
        <f>IF(H20=0,0,H20/$H$22)</f>
        <v>0.34701167088923041</v>
      </c>
      <c r="J20" s="54"/>
      <c r="M20" s="101"/>
    </row>
    <row r="21" spans="1:17" ht="18" customHeight="1">
      <c r="A21" s="39" t="str">
        <f>A12</f>
        <v>UI</v>
      </c>
      <c r="B21" s="69">
        <f>[2]Summary!$B$22</f>
        <v>202987</v>
      </c>
      <c r="C21" s="40">
        <f>IF(B21=0,0,B21/$B$22)</f>
        <v>0.67883179945422445</v>
      </c>
      <c r="D21" s="69">
        <f>[2]Summary!$B$23</f>
        <v>17097</v>
      </c>
      <c r="E21" s="53">
        <f>IF(D21=0,0,D21/$D$22)</f>
        <v>0.45212217374057911</v>
      </c>
      <c r="F21" s="68">
        <f>[2]Summary!$B$24</f>
        <v>24</v>
      </c>
      <c r="G21" s="40">
        <f>IF(F21=0,0,F21/$F$22)</f>
        <v>0.100418410041841</v>
      </c>
      <c r="H21" s="69">
        <f>IF(B21+D21+F21=0,0,B21+D21+F21)</f>
        <v>220108</v>
      </c>
      <c r="I21" s="40">
        <f>IF(H21=0,0,H21/$H$22)</f>
        <v>0.65298832911076965</v>
      </c>
    </row>
    <row r="22" spans="1:17" ht="18" customHeight="1">
      <c r="A22" s="39" t="str">
        <f>A13</f>
        <v>Total</v>
      </c>
      <c r="B22" s="42">
        <f>SUM(B20:B21)</f>
        <v>299024</v>
      </c>
      <c r="C22" s="55"/>
      <c r="D22" s="42">
        <f>SUM(D20:D21)</f>
        <v>37815</v>
      </c>
      <c r="E22" s="43"/>
      <c r="F22" s="42">
        <f>SUM(F20:F21)</f>
        <v>239</v>
      </c>
      <c r="G22" s="43"/>
      <c r="H22" s="42">
        <f>IF(H20+H21=0,0,H20+H21)</f>
        <v>337078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116,970 of UI's total customers, or 34.7%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220,108 or 65.3%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topLeftCell="A31" zoomScaleNormal="100" workbookViewId="0">
      <selection activeCell="B9" sqref="B9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15" t="s">
        <v>57</v>
      </c>
      <c r="B2" s="115"/>
      <c r="C2" s="115"/>
      <c r="D2" s="115"/>
      <c r="E2" s="115"/>
      <c r="F2" s="115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July 31,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12" t="s">
        <v>61</v>
      </c>
      <c r="C9" s="113">
        <v>232</v>
      </c>
      <c r="D9" s="114">
        <v>207</v>
      </c>
      <c r="E9" s="113">
        <v>439</v>
      </c>
      <c r="F9" s="21">
        <f t="shared" ref="F9:F50" si="0">IF(E9=0,"",E9/$E$52)</f>
        <v>3.7531311715069803E-3</v>
      </c>
    </row>
    <row r="10" spans="1:11" ht="14.25" customHeight="1">
      <c r="A10" s="105">
        <v>2</v>
      </c>
      <c r="B10" s="112" t="s">
        <v>58</v>
      </c>
      <c r="C10" s="113">
        <v>610</v>
      </c>
      <c r="D10" s="114">
        <v>1046</v>
      </c>
      <c r="E10" s="113">
        <v>1656</v>
      </c>
      <c r="F10" s="21">
        <f t="shared" si="0"/>
        <v>1.4157597312108337E-2</v>
      </c>
    </row>
    <row r="11" spans="1:11" ht="14.25" customHeight="1">
      <c r="A11" s="105">
        <v>3</v>
      </c>
      <c r="B11" s="112" t="s">
        <v>51</v>
      </c>
      <c r="C11" s="113">
        <v>9871</v>
      </c>
      <c r="D11" s="114">
        <v>774</v>
      </c>
      <c r="E11" s="113">
        <v>10645</v>
      </c>
      <c r="F11" s="21">
        <f t="shared" si="0"/>
        <v>9.1007018953739874E-2</v>
      </c>
    </row>
    <row r="12" spans="1:11" ht="14.25" customHeight="1">
      <c r="A12" s="105">
        <v>4</v>
      </c>
      <c r="B12" s="112" t="s">
        <v>55</v>
      </c>
      <c r="C12" s="113">
        <v>84</v>
      </c>
      <c r="D12" s="114">
        <v>194</v>
      </c>
      <c r="E12" s="113">
        <v>278</v>
      </c>
      <c r="F12" s="21">
        <f t="shared" si="0"/>
        <v>2.376698099496448E-3</v>
      </c>
    </row>
    <row r="13" spans="1:11" ht="14.25" customHeight="1">
      <c r="A13" s="105">
        <v>5</v>
      </c>
      <c r="B13" s="112" t="s">
        <v>62</v>
      </c>
      <c r="C13" s="113">
        <v>17</v>
      </c>
      <c r="D13" s="114">
        <v>3047</v>
      </c>
      <c r="E13" s="113">
        <v>3064</v>
      </c>
      <c r="F13" s="21">
        <f t="shared" si="0"/>
        <v>2.6194974736896099E-2</v>
      </c>
    </row>
    <row r="14" spans="1:11" ht="14.25" customHeight="1">
      <c r="A14" s="105">
        <v>6</v>
      </c>
      <c r="B14" s="112" t="s">
        <v>63</v>
      </c>
      <c r="C14" s="113">
        <v>10</v>
      </c>
      <c r="D14" s="114">
        <v>168</v>
      </c>
      <c r="E14" s="113">
        <v>178</v>
      </c>
      <c r="F14" s="21">
        <f t="shared" si="0"/>
        <v>1.5217707255768622E-3</v>
      </c>
    </row>
    <row r="15" spans="1:11" ht="14.25" customHeight="1">
      <c r="A15" s="105">
        <v>7</v>
      </c>
      <c r="B15" s="112" t="s">
        <v>64</v>
      </c>
      <c r="C15" s="113">
        <v>624</v>
      </c>
      <c r="D15" s="114">
        <v>17</v>
      </c>
      <c r="E15" s="113">
        <v>641</v>
      </c>
      <c r="F15" s="21">
        <f t="shared" si="0"/>
        <v>5.4800844668245431E-3</v>
      </c>
    </row>
    <row r="16" spans="1:11" ht="14.25" customHeight="1">
      <c r="A16" s="105">
        <v>8</v>
      </c>
      <c r="B16" s="112" t="s">
        <v>65</v>
      </c>
      <c r="C16" s="113">
        <v>8345</v>
      </c>
      <c r="D16" s="114">
        <v>672</v>
      </c>
      <c r="E16" s="113">
        <v>9017</v>
      </c>
      <c r="F16" s="21">
        <f t="shared" si="0"/>
        <v>7.708880130632903E-2</v>
      </c>
    </row>
    <row r="17" spans="1:6" ht="14.25" customHeight="1">
      <c r="A17" s="105">
        <v>9</v>
      </c>
      <c r="B17" s="112" t="s">
        <v>66</v>
      </c>
      <c r="C17" s="113">
        <v>684</v>
      </c>
      <c r="D17" s="114">
        <v>118</v>
      </c>
      <c r="E17" s="113">
        <v>802</v>
      </c>
      <c r="F17" s="21">
        <f t="shared" si="0"/>
        <v>6.8565175388350759E-3</v>
      </c>
    </row>
    <row r="18" spans="1:6" ht="14.25" customHeight="1">
      <c r="A18" s="105">
        <v>10</v>
      </c>
      <c r="B18" s="112" t="s">
        <v>67</v>
      </c>
      <c r="C18" s="113"/>
      <c r="D18" s="114">
        <v>3</v>
      </c>
      <c r="E18" s="113">
        <v>3</v>
      </c>
      <c r="F18" s="21">
        <f t="shared" si="0"/>
        <v>2.5647821217587564E-5</v>
      </c>
    </row>
    <row r="19" spans="1:6" ht="14.25" customHeight="1">
      <c r="A19" s="105">
        <v>11</v>
      </c>
      <c r="B19" s="112" t="s">
        <v>68</v>
      </c>
      <c r="C19" s="113">
        <v>620</v>
      </c>
      <c r="D19" s="114">
        <v>4445</v>
      </c>
      <c r="E19" s="113">
        <v>5065</v>
      </c>
      <c r="F19" s="21">
        <f t="shared" si="0"/>
        <v>4.3302071489027004E-2</v>
      </c>
    </row>
    <row r="20" spans="1:6" ht="14.25" customHeight="1">
      <c r="A20" s="105">
        <v>12</v>
      </c>
      <c r="B20" s="112" t="s">
        <v>69</v>
      </c>
      <c r="C20" s="113">
        <v>8061</v>
      </c>
      <c r="D20" s="114">
        <v>662</v>
      </c>
      <c r="E20" s="113">
        <v>8723</v>
      </c>
      <c r="F20" s="21">
        <f t="shared" si="0"/>
        <v>7.457531482700544E-2</v>
      </c>
    </row>
    <row r="21" spans="1:6" ht="14.25" customHeight="1">
      <c r="A21" s="105">
        <v>13</v>
      </c>
      <c r="B21" s="112" t="s">
        <v>59</v>
      </c>
      <c r="C21" s="113">
        <v>54</v>
      </c>
      <c r="D21" s="114">
        <v>1306</v>
      </c>
      <c r="E21" s="113">
        <v>1360</v>
      </c>
      <c r="F21" s="21">
        <f t="shared" si="0"/>
        <v>1.1627012285306363E-2</v>
      </c>
    </row>
    <row r="22" spans="1:6" ht="14.25" customHeight="1">
      <c r="A22" s="105">
        <v>14</v>
      </c>
      <c r="B22" s="112" t="s">
        <v>70</v>
      </c>
      <c r="C22" s="113">
        <v>8251</v>
      </c>
      <c r="D22" s="114">
        <v>2416</v>
      </c>
      <c r="E22" s="113">
        <v>10667</v>
      </c>
      <c r="F22" s="21">
        <f t="shared" si="0"/>
        <v>9.1195102976002182E-2</v>
      </c>
    </row>
    <row r="23" spans="1:6" ht="14.25" customHeight="1">
      <c r="A23" s="105">
        <v>15</v>
      </c>
      <c r="B23" s="112" t="s">
        <v>71</v>
      </c>
      <c r="C23" s="113">
        <v>5289</v>
      </c>
      <c r="D23" s="114">
        <v>298</v>
      </c>
      <c r="E23" s="113">
        <v>5587</v>
      </c>
      <c r="F23" s="21">
        <f t="shared" si="0"/>
        <v>4.7764792380887246E-2</v>
      </c>
    </row>
    <row r="24" spans="1:6" ht="14.25" customHeight="1">
      <c r="A24" s="105">
        <v>16</v>
      </c>
      <c r="B24" s="112" t="s">
        <v>72</v>
      </c>
      <c r="C24" s="113"/>
      <c r="D24" s="114">
        <v>63</v>
      </c>
      <c r="E24" s="113">
        <v>63</v>
      </c>
      <c r="F24" s="21">
        <f t="shared" si="0"/>
        <v>5.3860424556933888E-4</v>
      </c>
    </row>
    <row r="25" spans="1:6" ht="14.25" customHeight="1">
      <c r="A25" s="105">
        <v>17</v>
      </c>
      <c r="B25" s="112" t="s">
        <v>73</v>
      </c>
      <c r="C25" s="113">
        <v>4</v>
      </c>
      <c r="D25" s="114">
        <v>10</v>
      </c>
      <c r="E25" s="113">
        <v>14</v>
      </c>
      <c r="F25" s="21">
        <f t="shared" si="0"/>
        <v>1.1968983234874197E-4</v>
      </c>
    </row>
    <row r="26" spans="1:6" ht="14.25" customHeight="1">
      <c r="A26" s="105">
        <v>18</v>
      </c>
      <c r="B26" s="112" t="s">
        <v>74</v>
      </c>
      <c r="C26" s="113">
        <v>534</v>
      </c>
      <c r="D26" s="114">
        <v>126</v>
      </c>
      <c r="E26" s="113">
        <v>660</v>
      </c>
      <c r="F26" s="21">
        <f t="shared" si="0"/>
        <v>5.6425206678692649E-3</v>
      </c>
    </row>
    <row r="27" spans="1:6" ht="14.25" customHeight="1">
      <c r="A27" s="105">
        <v>19</v>
      </c>
      <c r="B27" s="112" t="s">
        <v>75</v>
      </c>
      <c r="C27" s="113">
        <v>1</v>
      </c>
      <c r="D27" s="114"/>
      <c r="E27" s="113">
        <v>1</v>
      </c>
      <c r="F27" s="21">
        <f t="shared" si="0"/>
        <v>8.5492737391958554E-6</v>
      </c>
    </row>
    <row r="28" spans="1:6" ht="14.25" customHeight="1">
      <c r="A28" s="105">
        <v>20</v>
      </c>
      <c r="B28" s="112" t="s">
        <v>76</v>
      </c>
      <c r="C28" s="113">
        <v>135</v>
      </c>
      <c r="D28" s="114">
        <v>813</v>
      </c>
      <c r="E28" s="113">
        <v>948</v>
      </c>
      <c r="F28" s="21">
        <f t="shared" si="0"/>
        <v>8.1047115047576702E-3</v>
      </c>
    </row>
    <row r="29" spans="1:6" ht="14.25" customHeight="1">
      <c r="A29" s="105">
        <v>21</v>
      </c>
      <c r="B29" s="112" t="s">
        <v>77</v>
      </c>
      <c r="C29" s="113">
        <v>261</v>
      </c>
      <c r="D29" s="114">
        <v>92</v>
      </c>
      <c r="E29" s="113">
        <v>353</v>
      </c>
      <c r="F29" s="21">
        <f t="shared" si="0"/>
        <v>3.0178936299361369E-3</v>
      </c>
    </row>
    <row r="30" spans="1:6" ht="14.25" customHeight="1">
      <c r="A30" s="105">
        <v>22</v>
      </c>
      <c r="B30" s="112" t="s">
        <v>78</v>
      </c>
      <c r="C30" s="113"/>
      <c r="D30" s="114">
        <v>33</v>
      </c>
      <c r="E30" s="113">
        <v>33</v>
      </c>
      <c r="F30" s="21">
        <f t="shared" si="0"/>
        <v>2.8212603339346324E-4</v>
      </c>
    </row>
    <row r="31" spans="1:6" ht="14.25" customHeight="1">
      <c r="A31" s="105">
        <v>23</v>
      </c>
      <c r="B31" s="112" t="s">
        <v>79</v>
      </c>
      <c r="C31" s="113">
        <v>571</v>
      </c>
      <c r="D31" s="114">
        <v>10</v>
      </c>
      <c r="E31" s="113">
        <v>581</v>
      </c>
      <c r="F31" s="21">
        <f t="shared" si="0"/>
        <v>4.9671280424727921E-3</v>
      </c>
    </row>
    <row r="32" spans="1:6" ht="14.25" customHeight="1">
      <c r="A32" s="105">
        <v>24</v>
      </c>
      <c r="B32" s="112" t="s">
        <v>13</v>
      </c>
      <c r="C32" s="113">
        <v>4501</v>
      </c>
      <c r="D32" s="114">
        <v>121</v>
      </c>
      <c r="E32" s="113">
        <v>4622</v>
      </c>
      <c r="F32" s="21">
        <f t="shared" si="0"/>
        <v>3.9514743222563244E-2</v>
      </c>
    </row>
    <row r="33" spans="1:7" ht="14.25" customHeight="1">
      <c r="A33" s="105">
        <v>25</v>
      </c>
      <c r="B33" s="112" t="s">
        <v>80</v>
      </c>
      <c r="C33" s="113">
        <v>1962</v>
      </c>
      <c r="D33" s="114">
        <v>27</v>
      </c>
      <c r="E33" s="113">
        <v>1989</v>
      </c>
      <c r="F33" s="21">
        <f t="shared" si="0"/>
        <v>1.7004505467260556E-2</v>
      </c>
    </row>
    <row r="34" spans="1:7" ht="14.25" customHeight="1">
      <c r="A34" s="105">
        <v>26</v>
      </c>
      <c r="B34" s="112" t="s">
        <v>81</v>
      </c>
      <c r="C34" s="113">
        <v>249</v>
      </c>
      <c r="D34" s="114">
        <v>98</v>
      </c>
      <c r="E34" s="113">
        <v>347</v>
      </c>
      <c r="F34" s="21">
        <f t="shared" si="0"/>
        <v>2.9665979875009617E-3</v>
      </c>
    </row>
    <row r="35" spans="1:7" ht="14.25" customHeight="1">
      <c r="A35" s="105">
        <v>27</v>
      </c>
      <c r="B35" s="112" t="s">
        <v>82</v>
      </c>
      <c r="C35" s="113"/>
      <c r="D35" s="114">
        <v>47</v>
      </c>
      <c r="E35" s="113">
        <v>47</v>
      </c>
      <c r="F35" s="21">
        <f t="shared" si="0"/>
        <v>4.0181586574220522E-4</v>
      </c>
    </row>
    <row r="36" spans="1:7" ht="14.25" customHeight="1">
      <c r="A36" s="105">
        <v>28</v>
      </c>
      <c r="B36" s="112" t="s">
        <v>83</v>
      </c>
      <c r="C36" s="113">
        <v>33</v>
      </c>
      <c r="D36" s="114">
        <v>35</v>
      </c>
      <c r="E36" s="113">
        <v>68</v>
      </c>
      <c r="F36" s="21">
        <f t="shared" si="0"/>
        <v>5.813506142653182E-4</v>
      </c>
    </row>
    <row r="37" spans="1:7" ht="14.25" customHeight="1">
      <c r="A37" s="105">
        <v>29</v>
      </c>
      <c r="B37" s="112" t="s">
        <v>84</v>
      </c>
      <c r="C37" s="113">
        <v>236</v>
      </c>
      <c r="D37" s="114">
        <v>370</v>
      </c>
      <c r="E37" s="113">
        <v>606</v>
      </c>
      <c r="F37" s="21">
        <f t="shared" si="0"/>
        <v>5.1808598859526883E-3</v>
      </c>
    </row>
    <row r="38" spans="1:7" ht="14.25" customHeight="1">
      <c r="A38" s="105">
        <v>30</v>
      </c>
      <c r="B38" s="112" t="s">
        <v>85</v>
      </c>
      <c r="C38" s="113">
        <v>10571</v>
      </c>
      <c r="D38" s="114">
        <v>263</v>
      </c>
      <c r="E38" s="113">
        <v>10834</v>
      </c>
      <c r="F38" s="21">
        <f t="shared" si="0"/>
        <v>9.2622831690447896E-2</v>
      </c>
    </row>
    <row r="39" spans="1:7" ht="14.25" customHeight="1">
      <c r="A39" s="105">
        <v>31</v>
      </c>
      <c r="B39" s="112" t="s">
        <v>86</v>
      </c>
      <c r="C39" s="113">
        <v>1125</v>
      </c>
      <c r="D39" s="114">
        <v>247</v>
      </c>
      <c r="E39" s="113">
        <v>1372</v>
      </c>
      <c r="F39" s="21">
        <f t="shared" si="0"/>
        <v>1.1729603570176713E-2</v>
      </c>
    </row>
    <row r="40" spans="1:7" ht="14.25" customHeight="1">
      <c r="A40" s="105">
        <v>32</v>
      </c>
      <c r="B40" s="112" t="s">
        <v>87</v>
      </c>
      <c r="C40" s="113">
        <v>1237</v>
      </c>
      <c r="D40" s="114">
        <v>74</v>
      </c>
      <c r="E40" s="113">
        <v>1311</v>
      </c>
      <c r="F40" s="21">
        <f t="shared" si="0"/>
        <v>1.1208097872085767E-2</v>
      </c>
    </row>
    <row r="41" spans="1:7" ht="14.25" customHeight="1">
      <c r="A41" s="105">
        <v>33</v>
      </c>
      <c r="B41" s="112" t="s">
        <v>88</v>
      </c>
      <c r="C41" s="113">
        <v>5719</v>
      </c>
      <c r="D41" s="114">
        <v>857</v>
      </c>
      <c r="E41" s="113">
        <v>6576</v>
      </c>
      <c r="F41" s="21">
        <f t="shared" si="0"/>
        <v>5.6220024108951945E-2</v>
      </c>
    </row>
    <row r="42" spans="1:7" ht="14.25" customHeight="1">
      <c r="A42" s="105">
        <v>34</v>
      </c>
      <c r="B42" s="112" t="s">
        <v>89</v>
      </c>
      <c r="C42" s="113">
        <v>3122</v>
      </c>
      <c r="D42" s="114">
        <v>958</v>
      </c>
      <c r="E42" s="113">
        <v>4080</v>
      </c>
      <c r="F42" s="21">
        <f t="shared" si="0"/>
        <v>3.488103685591909E-2</v>
      </c>
    </row>
    <row r="43" spans="1:7" ht="14.25" customHeight="1">
      <c r="A43" s="105">
        <v>35</v>
      </c>
      <c r="B43" s="112" t="s">
        <v>90</v>
      </c>
      <c r="C43" s="113">
        <v>3191</v>
      </c>
      <c r="D43" s="114">
        <v>226</v>
      </c>
      <c r="E43" s="113">
        <v>3417</v>
      </c>
      <c r="F43" s="21">
        <f t="shared" si="0"/>
        <v>2.9212868366832238E-2</v>
      </c>
    </row>
    <row r="44" spans="1:7">
      <c r="A44" s="105">
        <v>36</v>
      </c>
      <c r="B44" s="112" t="s">
        <v>91</v>
      </c>
      <c r="C44" s="113">
        <v>2095</v>
      </c>
      <c r="D44" s="114">
        <v>246</v>
      </c>
      <c r="E44" s="113">
        <v>2341</v>
      </c>
      <c r="F44" s="21">
        <f t="shared" si="0"/>
        <v>2.0013849823457497E-2</v>
      </c>
    </row>
    <row r="45" spans="1:7">
      <c r="A45" s="105">
        <v>37</v>
      </c>
      <c r="B45" s="112" t="s">
        <v>92</v>
      </c>
      <c r="C45" s="113"/>
      <c r="D45" s="114">
        <v>14</v>
      </c>
      <c r="E45" s="113">
        <v>14</v>
      </c>
      <c r="F45" s="21">
        <f t="shared" si="0"/>
        <v>1.1968983234874197E-4</v>
      </c>
      <c r="G45" s="109"/>
    </row>
    <row r="46" spans="1:7">
      <c r="A46" s="105">
        <v>38</v>
      </c>
      <c r="B46" s="112" t="s">
        <v>56</v>
      </c>
      <c r="C46" s="113">
        <v>4144</v>
      </c>
      <c r="D46" s="114">
        <v>124</v>
      </c>
      <c r="E46" s="113">
        <v>4268</v>
      </c>
      <c r="F46" s="21">
        <f t="shared" si="0"/>
        <v>3.648830031888791E-2</v>
      </c>
    </row>
    <row r="47" spans="1:7">
      <c r="A47" s="105">
        <v>39</v>
      </c>
      <c r="B47" s="112" t="s">
        <v>93</v>
      </c>
      <c r="C47" s="113">
        <v>8028</v>
      </c>
      <c r="D47" s="114">
        <v>210</v>
      </c>
      <c r="E47" s="113">
        <v>8238</v>
      </c>
      <c r="F47" s="21">
        <f t="shared" si="0"/>
        <v>7.0428917063495453E-2</v>
      </c>
    </row>
    <row r="48" spans="1:7">
      <c r="A48" s="105">
        <v>40</v>
      </c>
      <c r="B48" s="112" t="s">
        <v>94</v>
      </c>
      <c r="C48" s="113">
        <v>3227</v>
      </c>
      <c r="D48" s="114">
        <v>62</v>
      </c>
      <c r="E48" s="113">
        <v>3289</v>
      </c>
      <c r="F48" s="21">
        <f t="shared" si="0"/>
        <v>2.8118561328215167E-2</v>
      </c>
    </row>
    <row r="49" spans="1:10">
      <c r="A49" s="105">
        <v>41</v>
      </c>
      <c r="B49" s="112" t="s">
        <v>95</v>
      </c>
      <c r="C49" s="113">
        <v>777</v>
      </c>
      <c r="D49" s="114">
        <v>138</v>
      </c>
      <c r="E49" s="113">
        <v>915</v>
      </c>
      <c r="F49" s="21">
        <f t="shared" si="0"/>
        <v>7.822585471364208E-3</v>
      </c>
    </row>
    <row r="50" spans="1:10">
      <c r="A50" s="105">
        <v>42</v>
      </c>
      <c r="B50" s="112" t="s">
        <v>98</v>
      </c>
      <c r="C50" s="113">
        <v>1</v>
      </c>
      <c r="D50" s="114"/>
      <c r="E50" s="113">
        <v>1</v>
      </c>
      <c r="F50" s="21">
        <f t="shared" si="0"/>
        <v>8.5492737391958554E-6</v>
      </c>
    </row>
    <row r="51" spans="1:10">
      <c r="A51" s="105">
        <v>43</v>
      </c>
      <c r="B51" s="112" t="s">
        <v>96</v>
      </c>
      <c r="C51" s="113">
        <v>1561</v>
      </c>
      <c r="D51" s="114">
        <v>295</v>
      </c>
      <c r="E51" s="113">
        <v>1856</v>
      </c>
      <c r="F51" s="21"/>
    </row>
    <row r="52" spans="1:10">
      <c r="A52" s="105"/>
      <c r="B52" s="108" t="s">
        <v>60</v>
      </c>
      <c r="C52" s="113">
        <v>96037</v>
      </c>
      <c r="D52" s="113">
        <v>20932</v>
      </c>
      <c r="E52" s="113">
        <v>116969</v>
      </c>
      <c r="F52" s="21">
        <f>SUM(F9:F50)</f>
        <v>0.98413254794005245</v>
      </c>
    </row>
    <row r="53" spans="1:10">
      <c r="A53" s="106"/>
    </row>
    <row r="54" spans="1:10">
      <c r="A54" s="1" t="s">
        <v>23</v>
      </c>
      <c r="B54" s="103"/>
    </row>
    <row r="55" spans="1:10">
      <c r="A55" s="1" t="s">
        <v>22</v>
      </c>
      <c r="J55" s="104"/>
    </row>
    <row r="56" spans="1:10">
      <c r="A56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15" t="s">
        <v>57</v>
      </c>
      <c r="B2" s="115"/>
      <c r="C2" s="115"/>
      <c r="D2" s="115"/>
      <c r="E2" s="115"/>
      <c r="F2" s="115"/>
      <c r="G2" s="115"/>
      <c r="H2" s="115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July 31,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3562</v>
      </c>
      <c r="C13" s="43">
        <f>IF(B13=0,0,B13/'Summary Load Customers '!$B$22)</f>
        <v>1.1912087324094387E-2</v>
      </c>
      <c r="D13" s="42">
        <f>REC_programs_detail!C23</f>
        <v>39</v>
      </c>
      <c r="E13" s="43">
        <f>IF(D13=0,0,D13/('Summary Load Customers '!$D$22+'Summary Load Customers '!$F$22))</f>
        <v>1.0248594103116624E-3</v>
      </c>
      <c r="F13" s="42">
        <f>B13+D13</f>
        <v>3601</v>
      </c>
      <c r="G13" s="43">
        <f>IF(F13=0,0,F13/'Summary Load Customers '!$H$22)</f>
        <v>1.0682987320442153E-2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3,601 of UI's customers, or 1.1%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658</v>
      </c>
      <c r="C20" s="43">
        <f>IF(B20=0,0,B20/'Summary Load Customers '!$B$22)</f>
        <v>2.200492268179143E-3</v>
      </c>
      <c r="D20" s="42">
        <f>REC_programs_detail!C29</f>
        <v>59</v>
      </c>
      <c r="E20" s="43">
        <f>IF(D20=0,0,D20/('Summary Load Customers '!$D$22+'Summary Load Customers '!$F$22))</f>
        <v>1.5504283386766175E-3</v>
      </c>
      <c r="F20" s="42">
        <f>B20+D20</f>
        <v>717</v>
      </c>
      <c r="G20" s="43">
        <f>IF(F20=0,0,F20/'Summary Load Customers '!$H$22)</f>
        <v>2.1271041124012839E-3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0,717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4220</v>
      </c>
      <c r="C27" s="43">
        <f>IF(B27=0,0,B27/'Summary Load Customers '!$B$22)</f>
        <v>1.4112579592273531E-2</v>
      </c>
      <c r="D27" s="42">
        <f>D13+D20</f>
        <v>98</v>
      </c>
      <c r="E27" s="43">
        <f>IF(D27=0,0,D27/('Summary Load Customers '!$D$22+'Summary Load Customers '!$F$22))</f>
        <v>2.5752877489882797E-3</v>
      </c>
      <c r="F27" s="42">
        <f>B27+D27</f>
        <v>4318</v>
      </c>
      <c r="G27" s="43">
        <f>IF(F27=0,0,F27/'Summary Load Customers '!$H$22)</f>
        <v>1.2810091432843437E-2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4,318 of UI's customers, or 1.3%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B17" sqref="B17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16" t="str">
        <f>'Summary Load Customers '!A1</f>
        <v>The United Illuminating Company</v>
      </c>
      <c r="B1" s="116"/>
      <c r="C1" s="116"/>
      <c r="D1" s="116"/>
      <c r="E1" s="71"/>
      <c r="F1" s="71"/>
      <c r="G1" s="72"/>
    </row>
    <row r="2" spans="1:9" s="8" customFormat="1" ht="18" customHeight="1">
      <c r="A2" s="117" t="s">
        <v>57</v>
      </c>
      <c r="B2" s="117"/>
      <c r="C2" s="117"/>
      <c r="D2" s="117"/>
      <c r="E2" s="23"/>
      <c r="F2" s="23"/>
      <c r="G2" s="24"/>
      <c r="H2" s="25"/>
      <c r="I2" s="25"/>
    </row>
    <row r="3" spans="1:9" s="73" customFormat="1" ht="15" customHeight="1">
      <c r="A3" s="116" t="s">
        <v>35</v>
      </c>
      <c r="B3" s="116"/>
      <c r="C3" s="116"/>
      <c r="D3" s="116"/>
      <c r="E3" s="71"/>
      <c r="F3" s="71"/>
      <c r="G3" s="72"/>
    </row>
    <row r="4" spans="1:9" s="73" customFormat="1" ht="15" customHeight="1">
      <c r="A4" s="116" t="s">
        <v>2</v>
      </c>
      <c r="B4" s="116"/>
      <c r="C4" s="116"/>
      <c r="D4" s="116"/>
      <c r="E4" s="71"/>
      <c r="F4" s="71"/>
      <c r="G4" s="72"/>
    </row>
    <row r="5" spans="1:9" s="73" customFormat="1" ht="15" customHeight="1">
      <c r="A5" s="116" t="str">
        <f>'Summary Load Customers '!A6</f>
        <v>Data as of July 31, 2018</v>
      </c>
      <c r="B5" s="116"/>
      <c r="C5" s="116"/>
      <c r="D5" s="116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134</v>
      </c>
      <c r="C9" s="84">
        <v>2</v>
      </c>
      <c r="D9" s="85">
        <f>SUM(B9:C9)</f>
        <v>136</v>
      </c>
      <c r="E9" s="87"/>
      <c r="F9" s="87"/>
      <c r="G9" s="86"/>
      <c r="H9" s="75"/>
    </row>
    <row r="10" spans="1:9">
      <c r="A10" s="82" t="s">
        <v>16</v>
      </c>
      <c r="B10" s="84">
        <v>2921</v>
      </c>
      <c r="C10" s="84">
        <v>36</v>
      </c>
      <c r="D10" s="85">
        <f>SUM(B10:C10)</f>
        <v>2957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3055</v>
      </c>
      <c r="C11" s="91">
        <f>IF(SUM(C8:C10)=0,0,SUM(C8:C10))</f>
        <v>38</v>
      </c>
      <c r="D11" s="91">
        <f>IF(SUM(D8:D10)=0,0,SUM(D8:D10))</f>
        <v>3093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504</v>
      </c>
      <c r="C16" s="84">
        <v>1</v>
      </c>
      <c r="D16" s="85">
        <f>SUM(B16:C16)</f>
        <v>505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507</v>
      </c>
      <c r="C17" s="91">
        <f>IF(SUM(C14:C16)=0,0,SUM(C14:C16))</f>
        <v>1</v>
      </c>
      <c r="D17" s="91">
        <f>IF(SUM(D14:D16)=0,0,SUM(D14:D16))</f>
        <v>508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137</v>
      </c>
      <c r="C21" s="96">
        <f>IF(C9+C15=0,0,C9+C15)</f>
        <v>2</v>
      </c>
      <c r="D21" s="85">
        <f t="shared" si="0"/>
        <v>139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3425</v>
      </c>
      <c r="C22" s="96">
        <f>IF(C10+C16=0,0,C10+C16)</f>
        <v>37</v>
      </c>
      <c r="D22" s="85">
        <f>IF(D10+D16=0,0,D10+D16)</f>
        <v>3462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3562</v>
      </c>
      <c r="C23" s="91">
        <f>IF(SUM(C20:C22)=0,0,SUM(C20:C22))</f>
        <v>39</v>
      </c>
      <c r="D23" s="91">
        <f>SUM(D20:D22)</f>
        <v>3601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191</v>
      </c>
      <c r="C27" s="84">
        <v>11</v>
      </c>
      <c r="D27" s="85">
        <f>SUM(B27:C27)</f>
        <v>202</v>
      </c>
    </row>
    <row r="28" spans="1:8">
      <c r="A28" s="82" t="s">
        <v>16</v>
      </c>
      <c r="B28" s="84">
        <v>467</v>
      </c>
      <c r="C28" s="84">
        <v>48</v>
      </c>
      <c r="D28" s="85">
        <f>SUM(B28:C28)</f>
        <v>515</v>
      </c>
    </row>
    <row r="29" spans="1:8">
      <c r="A29" s="90" t="str">
        <f>A23</f>
        <v>Total</v>
      </c>
      <c r="B29" s="110">
        <f>IF(B27+B28=0,0,B27+B28)</f>
        <v>658</v>
      </c>
      <c r="C29" s="91">
        <f>IF(SUM(C26:C28)=0,0,SUM(C26:C28))</f>
        <v>59</v>
      </c>
      <c r="D29" s="91">
        <f>IF(SUM(D26:D28)=0,0,SUM(D26:D28))</f>
        <v>717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328</v>
      </c>
      <c r="C33" s="96">
        <f t="shared" si="1"/>
        <v>13</v>
      </c>
      <c r="D33" s="85">
        <f t="shared" si="1"/>
        <v>341</v>
      </c>
      <c r="E33" s="75"/>
      <c r="F33" s="75"/>
      <c r="G33" s="75"/>
    </row>
    <row r="34" spans="1:7">
      <c r="A34" s="82" t="s">
        <v>16</v>
      </c>
      <c r="B34" s="96">
        <f>B22+B28</f>
        <v>3892</v>
      </c>
      <c r="C34" s="96">
        <f t="shared" si="1"/>
        <v>85</v>
      </c>
      <c r="D34" s="85">
        <f t="shared" si="1"/>
        <v>3977</v>
      </c>
    </row>
    <row r="35" spans="1:7">
      <c r="A35" s="90" t="str">
        <f>A29</f>
        <v>Total</v>
      </c>
      <c r="B35" s="91">
        <f>IF(B33+B34=0,0,B33+B34)</f>
        <v>4220</v>
      </c>
      <c r="C35" s="91">
        <f>IF(SUM(C32:C34)=0,0,SUM(C32:C34))</f>
        <v>98</v>
      </c>
      <c r="D35" s="91">
        <f>SUM(D32:D34)</f>
        <v>4318</v>
      </c>
    </row>
    <row r="37" spans="1:7">
      <c r="A37" s="97" t="str">
        <f>"In summary, "&amp;TEXT($D$23,"0,000")&amp; " of UI's customers are participating in the CTCleanEnergyOptions Program"</f>
        <v>In summary, 3,601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717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4,318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2018-10-16T17:29:14Z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1245301701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  <property fmtid="{D5CDD505-2E9C-101B-9397-08002B2CF9AE}" pid="9" name="_PreviousAdHocReviewCycleID">
    <vt:i4>2002875211</vt:i4>
  </property>
</Properties>
</file>