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8" yWindow="2388" windowWidth="20196" windowHeight="4356" tabRatio="838" activeTab="3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<sst xmlns="http://schemas.openxmlformats.org/spreadsheetml/2006/main" count="163" uniqueCount="97">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</sst>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0" xfId="0" applyNumberFormat="1" applyFont="1" applyFill="1" applyBorder="1"/>
    <xf numFmtId="0" fontId="21" fillId="0" borderId="13" xfId="0" applyNumberFormat="1" applyFont="1" applyFill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9_Septem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09_September_2018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64508.711999999963</v>
          </cell>
        </row>
        <row r="25">
          <cell r="H25">
            <v>119037.80299999996</v>
          </cell>
        </row>
        <row r="26">
          <cell r="H26">
            <v>93369.668000000005</v>
          </cell>
        </row>
        <row r="29">
          <cell r="H29">
            <v>127760.967</v>
          </cell>
        </row>
        <row r="30">
          <cell r="H30">
            <v>47085.763999999988</v>
          </cell>
        </row>
        <row r="31">
          <cell r="H31">
            <v>6059.902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92999</v>
          </cell>
        </row>
        <row r="19">
          <cell r="B19">
            <v>20399</v>
          </cell>
        </row>
        <row r="20">
          <cell r="B20">
            <v>220</v>
          </cell>
        </row>
        <row r="22">
          <cell r="B22">
            <v>206437</v>
          </cell>
        </row>
        <row r="23">
          <cell r="B23">
            <v>17400</v>
          </cell>
        </row>
        <row r="24">
          <cell r="B24">
            <v>24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F20" sqref="F20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14.33203125" style="2" customWidth="1"/>
    <col min="9" max="9" width="11.6640625" style="2" customWidth="1"/>
    <col min="10" max="16384" width="9.109375" style="2"/>
  </cols>
  <sheetData>
    <row r="1" spans="1:15" s="8" customFormat="1" ht="18" customHeight="1" x14ac:dyDescent="0.25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5">
      <c r="A2" s="22" t="s">
        <v>57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5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5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5">
      <c r="A6" s="111" t="s">
        <v>96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5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5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 x14ac:dyDescent="0.25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 x14ac:dyDescent="0.25">
      <c r="A11" s="39" t="s">
        <v>11</v>
      </c>
      <c r="B11" s="68">
        <f>[1]Check!$H$24</f>
        <v>64508.711999999963</v>
      </c>
      <c r="C11" s="40">
        <f>IF(B11=0,0,B11/$B$13)</f>
        <v>0.33551162271405244</v>
      </c>
      <c r="D11" s="68">
        <f>[1]Check!$H$25</f>
        <v>119037.80299999996</v>
      </c>
      <c r="E11" s="40">
        <f>IF(D11=0,0,D11/$D$13)</f>
        <v>0.71656180486420684</v>
      </c>
      <c r="F11" s="68">
        <f>[1]Check!$H$26</f>
        <v>93369.668000000005</v>
      </c>
      <c r="G11" s="40">
        <f>IF(F11=0,0,F11/$F$13)</f>
        <v>0.93905332186390833</v>
      </c>
      <c r="H11" s="41">
        <f>IF(B11+D11+F11=0,0,B11+D11+F11)</f>
        <v>276916.18299999996</v>
      </c>
      <c r="I11" s="40">
        <f>IF(H11=0,0,H11/$H$13)</f>
        <v>0.60485448370489248</v>
      </c>
    </row>
    <row r="12" spans="1:15" ht="18" customHeight="1" x14ac:dyDescent="0.25">
      <c r="A12" s="39" t="s">
        <v>12</v>
      </c>
      <c r="B12" s="69">
        <f>[1]Check!$H$29</f>
        <v>127760.967</v>
      </c>
      <c r="C12" s="40">
        <f>IF(B12=0,0,B12/$B$13)</f>
        <v>0.66448837728594756</v>
      </c>
      <c r="D12" s="69">
        <f>[1]Check!$H$30</f>
        <v>47085.763999999988</v>
      </c>
      <c r="E12" s="40">
        <f>IF(D12=0,0,D12/$D$13)</f>
        <v>0.2834381951357931</v>
      </c>
      <c r="F12" s="69">
        <f>[1]Check!$H$31</f>
        <v>6059.902</v>
      </c>
      <c r="G12" s="40">
        <f>IF(F12=0,0,F12/$F$13)</f>
        <v>6.0946678136091705E-2</v>
      </c>
      <c r="H12" s="102">
        <f>IF(B12+D12+F12=0,0,B12+D12+F12)</f>
        <v>180906.633</v>
      </c>
      <c r="I12" s="40">
        <f>IF(H12=0,0,H12/$H$13)</f>
        <v>0.39514551629510752</v>
      </c>
    </row>
    <row r="13" spans="1:15" ht="18" customHeight="1" x14ac:dyDescent="0.25">
      <c r="A13" s="107" t="s">
        <v>7</v>
      </c>
      <c r="B13" s="42">
        <f>SUM(B11:B12)</f>
        <v>192269.67899999997</v>
      </c>
      <c r="C13" s="43"/>
      <c r="D13" s="42">
        <f>SUM(D11:D12)</f>
        <v>166123.56699999995</v>
      </c>
      <c r="E13" s="43"/>
      <c r="F13" s="42">
        <f>SUM(F11:F12)</f>
        <v>99429.57</v>
      </c>
      <c r="G13" s="43"/>
      <c r="H13" s="42">
        <f>IF(H11+H12=0,0,H11+H12)</f>
        <v>457822.81599999999</v>
      </c>
      <c r="I13" s="44"/>
    </row>
    <row r="14" spans="1:15" ht="18" customHeight="1" x14ac:dyDescent="0.25">
      <c r="A14" s="99" t="str">
        <f>"As the above table shows, "&amp;TEXT(H11,"0,000")&amp; " MWh, or "&amp;TEXT(I11,"0.0%")&amp;" of UI's total load is served by electric suppliers"</f>
        <v>As the above table shows, 276,916 MWh, or 60.5%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180,907 MHh, or 39.5%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3.8" x14ac:dyDescent="0.25">
      <c r="G16" s="49"/>
      <c r="H16" s="27"/>
    </row>
    <row r="17" spans="1:17" ht="18" customHeight="1" x14ac:dyDescent="0.25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 x14ac:dyDescent="0.25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 x14ac:dyDescent="0.25">
      <c r="A20" s="39" t="str">
        <f>A11</f>
        <v>Suppliers</v>
      </c>
      <c r="B20" s="68">
        <f>[2]Summary!$B$18</f>
        <v>92999</v>
      </c>
      <c r="C20" s="40">
        <f>IF(B20=0,0,B20/$B$22)</f>
        <v>0.31058055811592461</v>
      </c>
      <c r="D20" s="68">
        <f>[2]Summary!$B$19</f>
        <v>20399</v>
      </c>
      <c r="E20" s="53">
        <f>IF(D20=0,0,D20/$D$22)</f>
        <v>0.53967036164977911</v>
      </c>
      <c r="F20" s="68">
        <f>[2]Summary!$B$20</f>
        <v>220</v>
      </c>
      <c r="G20" s="40">
        <f>IF(F20=0,0,F20/$F$22)</f>
        <v>0.90163934426229508</v>
      </c>
      <c r="H20" s="41">
        <f>IF(B20+D20+F20=0,0,B20+D20+F20)</f>
        <v>113618</v>
      </c>
      <c r="I20" s="40">
        <f>IF(H20=0,0,H20/$H$22)</f>
        <v>0.33666687408698021</v>
      </c>
      <c r="J20" s="54"/>
      <c r="M20" s="101"/>
    </row>
    <row r="21" spans="1:17" ht="18" customHeight="1" x14ac:dyDescent="0.25">
      <c r="A21" s="39" t="str">
        <f>A12</f>
        <v>UI</v>
      </c>
      <c r="B21" s="69">
        <f>[2]Summary!$B$22</f>
        <v>206437</v>
      </c>
      <c r="C21" s="40">
        <f>IF(B21=0,0,B21/$B$22)</f>
        <v>0.68941944188407545</v>
      </c>
      <c r="D21" s="69">
        <f>[2]Summary!$B$23</f>
        <v>17400</v>
      </c>
      <c r="E21" s="53">
        <f>IF(D21=0,0,D21/$D$22)</f>
        <v>0.46032963835022089</v>
      </c>
      <c r="F21" s="68">
        <f>[2]Summary!$B$24</f>
        <v>24</v>
      </c>
      <c r="G21" s="40">
        <f>IF(F21=0,0,F21/$F$22)</f>
        <v>9.8360655737704916E-2</v>
      </c>
      <c r="H21" s="69">
        <f>IF(B21+D21+F21=0,0,B21+D21+F21)</f>
        <v>223861</v>
      </c>
      <c r="I21" s="40">
        <f>IF(H21=0,0,H21/$H$22)</f>
        <v>0.66333312591301974</v>
      </c>
    </row>
    <row r="22" spans="1:17" ht="18" customHeight="1" x14ac:dyDescent="0.25">
      <c r="A22" s="39" t="str">
        <f>A13</f>
        <v>Total</v>
      </c>
      <c r="B22" s="42">
        <f>SUM(B20:B21)</f>
        <v>299436</v>
      </c>
      <c r="C22" s="55"/>
      <c r="D22" s="42">
        <f>SUM(D20:D21)</f>
        <v>37799</v>
      </c>
      <c r="E22" s="43"/>
      <c r="F22" s="42">
        <f>SUM(F20:F21)</f>
        <v>244</v>
      </c>
      <c r="G22" s="43"/>
      <c r="H22" s="42">
        <f>IF(H20+H21=0,0,H20+H21)</f>
        <v>337479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113,618 of UI's total customers, or 33.7%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223,861 or 66.3%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8" x14ac:dyDescent="0.25">
      <c r="A28" s="66" t="s">
        <v>28</v>
      </c>
      <c r="I28" s="101"/>
    </row>
    <row r="29" spans="1:17" ht="13.8" x14ac:dyDescent="0.25">
      <c r="A29" s="66" t="s">
        <v>32</v>
      </c>
    </row>
    <row r="30" spans="1:17" ht="13.8" x14ac:dyDescent="0.25">
      <c r="A30" s="66" t="s">
        <v>50</v>
      </c>
    </row>
    <row r="31" spans="1:17" x14ac:dyDescent="0.25">
      <c r="A31" s="67" t="s">
        <v>18</v>
      </c>
    </row>
    <row r="32" spans="1:17" x14ac:dyDescent="0.25">
      <c r="A32" s="67" t="s">
        <v>24</v>
      </c>
    </row>
    <row r="36" spans="1:1" x14ac:dyDescent="0.25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showZeros="0" zoomScaleNormal="100" workbookViewId="0">
      <selection activeCell="F9" sqref="F9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2"/>
  </cols>
  <sheetData>
    <row r="1" spans="1:11" s="8" customFormat="1" ht="18" customHeight="1" x14ac:dyDescent="0.25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5">
      <c r="A2" s="121" t="s">
        <v>57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5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5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5">
      <c r="A5" s="9" t="str">
        <f>'Summary Load Customers '!A6</f>
        <v>Data as of September 30,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5">
      <c r="A6" s="15"/>
      <c r="B6" s="5"/>
      <c r="C6" s="16"/>
      <c r="D6" s="16"/>
      <c r="E6" s="10"/>
      <c r="F6" s="10"/>
    </row>
    <row r="7" spans="1:11" s="8" customFormat="1" ht="18" customHeight="1" x14ac:dyDescent="0.25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6.4" x14ac:dyDescent="0.2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 x14ac:dyDescent="0.3">
      <c r="A9" s="105">
        <v>1</v>
      </c>
      <c r="B9" t="s">
        <v>61</v>
      </c>
      <c r="C9" s="119">
        <v>212</v>
      </c>
      <c r="D9" s="112">
        <v>204</v>
      </c>
      <c r="E9" s="113">
        <v>416</v>
      </c>
      <c r="F9" s="21">
        <f t="shared" ref="F9:F49" si="0">IF(E9=0,"",E9/$E$50)</f>
        <v>3.6614239066336905E-3</v>
      </c>
    </row>
    <row r="10" spans="1:11" ht="14.25" customHeight="1" x14ac:dyDescent="0.3">
      <c r="A10" s="105">
        <v>2</v>
      </c>
      <c r="B10" t="s">
        <v>58</v>
      </c>
      <c r="C10" s="120">
        <v>600</v>
      </c>
      <c r="D10" s="114">
        <v>1101</v>
      </c>
      <c r="E10" s="115">
        <v>1701</v>
      </c>
      <c r="F10" s="21">
        <f t="shared" si="0"/>
        <v>1.4971351118230546E-2</v>
      </c>
    </row>
    <row r="11" spans="1:11" ht="14.25" customHeight="1" x14ac:dyDescent="0.3">
      <c r="A11" s="105">
        <v>3</v>
      </c>
      <c r="B11" t="s">
        <v>51</v>
      </c>
      <c r="C11" s="120">
        <v>9516</v>
      </c>
      <c r="D11" s="114">
        <v>779</v>
      </c>
      <c r="E11" s="115">
        <v>10295</v>
      </c>
      <c r="F11" s="21">
        <f t="shared" si="0"/>
        <v>9.0611440189408268E-2</v>
      </c>
    </row>
    <row r="12" spans="1:11" ht="14.25" customHeight="1" x14ac:dyDescent="0.3">
      <c r="A12" s="105">
        <v>4</v>
      </c>
      <c r="B12" t="s">
        <v>55</v>
      </c>
      <c r="C12" s="120">
        <v>83</v>
      </c>
      <c r="D12" s="114">
        <v>179</v>
      </c>
      <c r="E12" s="115">
        <v>262</v>
      </c>
      <c r="F12" s="21">
        <f t="shared" si="0"/>
        <v>2.3059929411971799E-3</v>
      </c>
    </row>
    <row r="13" spans="1:11" ht="14.25" customHeight="1" x14ac:dyDescent="0.3">
      <c r="A13" s="105">
        <v>5</v>
      </c>
      <c r="B13" t="s">
        <v>62</v>
      </c>
      <c r="C13" s="120">
        <v>17</v>
      </c>
      <c r="D13" s="114">
        <v>3042</v>
      </c>
      <c r="E13" s="115">
        <v>3059</v>
      </c>
      <c r="F13" s="21">
        <f t="shared" si="0"/>
        <v>2.6923787813443411E-2</v>
      </c>
    </row>
    <row r="14" spans="1:11" ht="14.25" customHeight="1" x14ac:dyDescent="0.3">
      <c r="A14" s="105">
        <v>6</v>
      </c>
      <c r="B14" t="s">
        <v>63</v>
      </c>
      <c r="C14" s="120">
        <v>11</v>
      </c>
      <c r="D14" s="114">
        <v>168</v>
      </c>
      <c r="E14" s="115">
        <v>179</v>
      </c>
      <c r="F14" s="21">
        <f t="shared" si="0"/>
        <v>1.5754684598255544E-3</v>
      </c>
    </row>
    <row r="15" spans="1:11" ht="14.25" customHeight="1" x14ac:dyDescent="0.3">
      <c r="A15" s="105">
        <v>7</v>
      </c>
      <c r="B15" t="s">
        <v>64</v>
      </c>
      <c r="C15" s="120">
        <v>615</v>
      </c>
      <c r="D15" s="114">
        <v>15</v>
      </c>
      <c r="E15" s="115">
        <v>630</v>
      </c>
      <c r="F15" s="21">
        <f t="shared" si="0"/>
        <v>5.5449448586039063E-3</v>
      </c>
    </row>
    <row r="16" spans="1:11" ht="14.25" customHeight="1" x14ac:dyDescent="0.3">
      <c r="A16" s="105">
        <v>8</v>
      </c>
      <c r="B16" t="s">
        <v>65</v>
      </c>
      <c r="C16" s="120">
        <v>8222</v>
      </c>
      <c r="D16" s="114">
        <v>662</v>
      </c>
      <c r="E16" s="115">
        <v>8884</v>
      </c>
      <c r="F16" s="21">
        <f t="shared" si="0"/>
        <v>7.8192524006090641E-2</v>
      </c>
    </row>
    <row r="17" spans="1:6" ht="14.25" customHeight="1" x14ac:dyDescent="0.3">
      <c r="A17" s="105">
        <v>9</v>
      </c>
      <c r="B17" t="s">
        <v>66</v>
      </c>
      <c r="C17" s="120">
        <v>675</v>
      </c>
      <c r="D17" s="114">
        <v>107</v>
      </c>
      <c r="E17" s="115">
        <v>782</v>
      </c>
      <c r="F17" s="21">
        <f t="shared" si="0"/>
        <v>6.8827728244892934E-3</v>
      </c>
    </row>
    <row r="18" spans="1:6" ht="14.25" customHeight="1" x14ac:dyDescent="0.3">
      <c r="A18" s="105">
        <v>10</v>
      </c>
      <c r="B18" t="s">
        <v>67</v>
      </c>
      <c r="C18" s="120">
        <v>620</v>
      </c>
      <c r="D18" s="114">
        <v>4460</v>
      </c>
      <c r="E18" s="115">
        <v>5080</v>
      </c>
      <c r="F18" s="21">
        <f t="shared" si="0"/>
        <v>4.4711618859853718E-2</v>
      </c>
    </row>
    <row r="19" spans="1:6" ht="14.25" customHeight="1" x14ac:dyDescent="0.3">
      <c r="A19" s="105">
        <v>11</v>
      </c>
      <c r="B19" t="s">
        <v>68</v>
      </c>
      <c r="C19" s="120">
        <v>7748</v>
      </c>
      <c r="D19" s="114">
        <v>662</v>
      </c>
      <c r="E19" s="115">
        <v>8410</v>
      </c>
      <c r="F19" s="21">
        <f t="shared" si="0"/>
        <v>7.4020613112474362E-2</v>
      </c>
    </row>
    <row r="20" spans="1:6" ht="14.25" customHeight="1" x14ac:dyDescent="0.3">
      <c r="A20" s="105">
        <v>12</v>
      </c>
      <c r="B20" t="s">
        <v>59</v>
      </c>
      <c r="C20" s="120">
        <v>46</v>
      </c>
      <c r="D20" s="114">
        <v>1249</v>
      </c>
      <c r="E20" s="115">
        <v>1295</v>
      </c>
      <c r="F20" s="21">
        <f t="shared" si="0"/>
        <v>1.1397942209352474E-2</v>
      </c>
    </row>
    <row r="21" spans="1:6" ht="14.25" customHeight="1" x14ac:dyDescent="0.3">
      <c r="A21" s="105">
        <v>13</v>
      </c>
      <c r="B21" t="s">
        <v>69</v>
      </c>
      <c r="C21" s="120">
        <v>7835</v>
      </c>
      <c r="D21" s="114">
        <v>2294</v>
      </c>
      <c r="E21" s="115">
        <v>10129</v>
      </c>
      <c r="F21" s="21">
        <f t="shared" si="0"/>
        <v>8.9150391226665029E-2</v>
      </c>
    </row>
    <row r="22" spans="1:6" ht="14.25" customHeight="1" x14ac:dyDescent="0.3">
      <c r="A22" s="105">
        <v>14</v>
      </c>
      <c r="B22" t="s">
        <v>70</v>
      </c>
      <c r="C22" s="120">
        <v>4838</v>
      </c>
      <c r="D22" s="114">
        <v>291</v>
      </c>
      <c r="E22" s="115">
        <v>5129</v>
      </c>
      <c r="F22" s="21">
        <f t="shared" si="0"/>
        <v>4.5142892348856246E-2</v>
      </c>
    </row>
    <row r="23" spans="1:6" ht="14.25" customHeight="1" x14ac:dyDescent="0.3">
      <c r="A23" s="105">
        <v>15</v>
      </c>
      <c r="B23" t="s">
        <v>71</v>
      </c>
      <c r="C23" s="120"/>
      <c r="D23" s="114">
        <v>63</v>
      </c>
      <c r="E23" s="115">
        <v>63</v>
      </c>
      <c r="F23" s="21">
        <f t="shared" si="0"/>
        <v>5.5449448586039065E-4</v>
      </c>
    </row>
    <row r="24" spans="1:6" ht="14.25" customHeight="1" x14ac:dyDescent="0.3">
      <c r="A24" s="105">
        <v>16</v>
      </c>
      <c r="B24" t="s">
        <v>72</v>
      </c>
      <c r="C24" s="120">
        <v>4</v>
      </c>
      <c r="D24" s="114">
        <v>10</v>
      </c>
      <c r="E24" s="115">
        <v>14</v>
      </c>
      <c r="F24" s="21">
        <f t="shared" si="0"/>
        <v>1.2322099685786457E-4</v>
      </c>
    </row>
    <row r="25" spans="1:6" ht="14.25" customHeight="1" x14ac:dyDescent="0.3">
      <c r="A25" s="105">
        <v>17</v>
      </c>
      <c r="B25" t="s">
        <v>73</v>
      </c>
      <c r="C25" s="120">
        <v>514</v>
      </c>
      <c r="D25" s="114">
        <v>114</v>
      </c>
      <c r="E25" s="115">
        <v>628</v>
      </c>
      <c r="F25" s="21">
        <f t="shared" si="0"/>
        <v>5.5273418590527828E-3</v>
      </c>
    </row>
    <row r="26" spans="1:6" ht="14.25" customHeight="1" x14ac:dyDescent="0.3">
      <c r="A26" s="105">
        <v>18</v>
      </c>
      <c r="B26" t="s">
        <v>74</v>
      </c>
      <c r="C26" s="120">
        <v>2</v>
      </c>
      <c r="D26" s="114"/>
      <c r="E26" s="115">
        <v>2</v>
      </c>
      <c r="F26" s="21">
        <f t="shared" si="0"/>
        <v>1.7602999551123513E-5</v>
      </c>
    </row>
    <row r="27" spans="1:6" ht="14.25" customHeight="1" x14ac:dyDescent="0.3">
      <c r="A27" s="105">
        <v>19</v>
      </c>
      <c r="B27" t="s">
        <v>75</v>
      </c>
      <c r="C27" s="120">
        <v>144</v>
      </c>
      <c r="D27" s="114">
        <v>817</v>
      </c>
      <c r="E27" s="115">
        <v>961</v>
      </c>
      <c r="F27" s="21">
        <f t="shared" si="0"/>
        <v>8.4582412843148477E-3</v>
      </c>
    </row>
    <row r="28" spans="1:6" ht="14.25" customHeight="1" x14ac:dyDescent="0.3">
      <c r="A28" s="105">
        <v>20</v>
      </c>
      <c r="B28" t="s">
        <v>76</v>
      </c>
      <c r="C28" s="120">
        <v>261</v>
      </c>
      <c r="D28" s="114">
        <v>93</v>
      </c>
      <c r="E28" s="115">
        <v>354</v>
      </c>
      <c r="F28" s="21">
        <f t="shared" si="0"/>
        <v>3.1157309205488617E-3</v>
      </c>
    </row>
    <row r="29" spans="1:6" ht="14.25" customHeight="1" x14ac:dyDescent="0.3">
      <c r="A29" s="105">
        <v>21</v>
      </c>
      <c r="B29" t="s">
        <v>77</v>
      </c>
      <c r="C29" s="120"/>
      <c r="D29" s="114">
        <v>57</v>
      </c>
      <c r="E29" s="115">
        <v>57</v>
      </c>
      <c r="F29" s="21">
        <f t="shared" si="0"/>
        <v>5.0168548720702004E-4</v>
      </c>
    </row>
    <row r="30" spans="1:6" ht="14.25" customHeight="1" x14ac:dyDescent="0.3">
      <c r="A30" s="105">
        <v>22</v>
      </c>
      <c r="B30" t="s">
        <v>78</v>
      </c>
      <c r="C30" s="120">
        <v>513</v>
      </c>
      <c r="D30" s="114">
        <v>9</v>
      </c>
      <c r="E30" s="115">
        <v>522</v>
      </c>
      <c r="F30" s="21">
        <f t="shared" si="0"/>
        <v>4.5943828828432362E-3</v>
      </c>
    </row>
    <row r="31" spans="1:6" ht="14.25" customHeight="1" x14ac:dyDescent="0.3">
      <c r="A31" s="105">
        <v>23</v>
      </c>
      <c r="B31" t="s">
        <v>13</v>
      </c>
      <c r="C31" s="120">
        <v>4765</v>
      </c>
      <c r="D31" s="114">
        <v>114</v>
      </c>
      <c r="E31" s="115">
        <v>4879</v>
      </c>
      <c r="F31" s="21">
        <f t="shared" si="0"/>
        <v>4.2942517404965803E-2</v>
      </c>
    </row>
    <row r="32" spans="1:6" ht="14.25" customHeight="1" x14ac:dyDescent="0.3">
      <c r="A32" s="105">
        <v>24</v>
      </c>
      <c r="B32" t="s">
        <v>79</v>
      </c>
      <c r="C32" s="120">
        <v>1899</v>
      </c>
      <c r="D32" s="114">
        <v>29</v>
      </c>
      <c r="E32" s="115">
        <v>1928</v>
      </c>
      <c r="F32" s="21">
        <f t="shared" si="0"/>
        <v>1.6969291567283065E-2</v>
      </c>
    </row>
    <row r="33" spans="1:7" ht="14.25" customHeight="1" x14ac:dyDescent="0.3">
      <c r="A33" s="105">
        <v>25</v>
      </c>
      <c r="B33" t="s">
        <v>80</v>
      </c>
      <c r="C33" s="120">
        <v>235</v>
      </c>
      <c r="D33" s="114">
        <v>95</v>
      </c>
      <c r="E33" s="115">
        <v>330</v>
      </c>
      <c r="F33" s="21">
        <f t="shared" si="0"/>
        <v>2.9044949259353792E-3</v>
      </c>
    </row>
    <row r="34" spans="1:7" ht="14.25" customHeight="1" x14ac:dyDescent="0.3">
      <c r="A34" s="105">
        <v>26</v>
      </c>
      <c r="B34" t="s">
        <v>81</v>
      </c>
      <c r="C34" s="120">
        <v>12</v>
      </c>
      <c r="D34" s="114">
        <v>14</v>
      </c>
      <c r="E34" s="115">
        <v>26</v>
      </c>
      <c r="F34" s="21">
        <f t="shared" si="0"/>
        <v>2.2883899416460565E-4</v>
      </c>
    </row>
    <row r="35" spans="1:7" ht="14.25" customHeight="1" x14ac:dyDescent="0.3">
      <c r="A35" s="105">
        <v>27</v>
      </c>
      <c r="B35" t="s">
        <v>82</v>
      </c>
      <c r="C35" s="120">
        <v>232</v>
      </c>
      <c r="D35" s="114">
        <v>366</v>
      </c>
      <c r="E35" s="115">
        <v>598</v>
      </c>
      <c r="F35" s="21">
        <f t="shared" si="0"/>
        <v>5.2632968657859297E-3</v>
      </c>
    </row>
    <row r="36" spans="1:7" ht="14.25" customHeight="1" x14ac:dyDescent="0.3">
      <c r="A36" s="105">
        <v>28</v>
      </c>
      <c r="B36" t="s">
        <v>83</v>
      </c>
      <c r="C36" s="120">
        <v>10096</v>
      </c>
      <c r="D36" s="114">
        <v>254</v>
      </c>
      <c r="E36" s="115">
        <v>10350</v>
      </c>
      <c r="F36" s="21">
        <f t="shared" si="0"/>
        <v>9.1095522677064167E-2</v>
      </c>
    </row>
    <row r="37" spans="1:7" ht="14.25" customHeight="1" x14ac:dyDescent="0.3">
      <c r="A37" s="105">
        <v>29</v>
      </c>
      <c r="B37" t="s">
        <v>84</v>
      </c>
      <c r="C37" s="120">
        <v>1079</v>
      </c>
      <c r="D37" s="114">
        <v>242</v>
      </c>
      <c r="E37" s="115">
        <v>1321</v>
      </c>
      <c r="F37" s="21">
        <f t="shared" si="0"/>
        <v>1.1626781203517079E-2</v>
      </c>
    </row>
    <row r="38" spans="1:7" ht="14.25" customHeight="1" x14ac:dyDescent="0.3">
      <c r="A38" s="105">
        <v>30</v>
      </c>
      <c r="B38" t="s">
        <v>85</v>
      </c>
      <c r="C38" s="120">
        <v>1200</v>
      </c>
      <c r="D38" s="114">
        <v>73</v>
      </c>
      <c r="E38" s="115">
        <v>1273</v>
      </c>
      <c r="F38" s="21">
        <f t="shared" si="0"/>
        <v>1.1204309214290114E-2</v>
      </c>
    </row>
    <row r="39" spans="1:7" ht="14.25" customHeight="1" x14ac:dyDescent="0.3">
      <c r="A39" s="105">
        <v>31</v>
      </c>
      <c r="B39" t="s">
        <v>86</v>
      </c>
      <c r="C39" s="120">
        <v>5639</v>
      </c>
      <c r="D39" s="114">
        <v>824</v>
      </c>
      <c r="E39" s="115">
        <v>6463</v>
      </c>
      <c r="F39" s="21">
        <f t="shared" si="0"/>
        <v>5.6884093049455624E-2</v>
      </c>
    </row>
    <row r="40" spans="1:7" ht="14.25" customHeight="1" x14ac:dyDescent="0.3">
      <c r="A40" s="105">
        <v>32</v>
      </c>
      <c r="B40" t="s">
        <v>87</v>
      </c>
      <c r="C40" s="120">
        <v>2748</v>
      </c>
      <c r="D40" s="114">
        <v>899</v>
      </c>
      <c r="E40" s="115">
        <v>3647</v>
      </c>
      <c r="F40" s="21">
        <f t="shared" si="0"/>
        <v>3.2099069681473726E-2</v>
      </c>
    </row>
    <row r="41" spans="1:7" ht="14.25" customHeight="1" x14ac:dyDescent="0.3">
      <c r="A41" s="105">
        <v>33</v>
      </c>
      <c r="B41" t="s">
        <v>88</v>
      </c>
      <c r="C41" s="120">
        <v>3131</v>
      </c>
      <c r="D41" s="114">
        <v>225</v>
      </c>
      <c r="E41" s="115">
        <v>3356</v>
      </c>
      <c r="F41" s="21">
        <f t="shared" si="0"/>
        <v>2.9537833246785251E-2</v>
      </c>
    </row>
    <row r="42" spans="1:7" ht="14.25" customHeight="1" x14ac:dyDescent="0.3">
      <c r="A42" s="105">
        <v>34</v>
      </c>
      <c r="B42" t="s">
        <v>89</v>
      </c>
      <c r="C42" s="120">
        <v>2018</v>
      </c>
      <c r="D42" s="114">
        <v>229</v>
      </c>
      <c r="E42" s="115">
        <v>2247</v>
      </c>
      <c r="F42" s="21">
        <f t="shared" si="0"/>
        <v>1.9776969995687264E-2</v>
      </c>
    </row>
    <row r="43" spans="1:7" ht="14.25" customHeight="1" x14ac:dyDescent="0.3">
      <c r="A43" s="105">
        <v>35</v>
      </c>
      <c r="B43" t="s">
        <v>90</v>
      </c>
      <c r="C43" s="120"/>
      <c r="D43" s="114">
        <v>13</v>
      </c>
      <c r="E43" s="115">
        <v>13</v>
      </c>
      <c r="F43" s="21">
        <f t="shared" si="0"/>
        <v>1.1441949708230283E-4</v>
      </c>
    </row>
    <row r="44" spans="1:7" ht="14.4" x14ac:dyDescent="0.3">
      <c r="A44" s="105">
        <v>36</v>
      </c>
      <c r="B44" t="s">
        <v>56</v>
      </c>
      <c r="C44" s="120">
        <v>3683</v>
      </c>
      <c r="D44" s="114">
        <v>122</v>
      </c>
      <c r="E44" s="115">
        <v>3805</v>
      </c>
      <c r="F44" s="21">
        <f t="shared" si="0"/>
        <v>3.3489706646012481E-2</v>
      </c>
    </row>
    <row r="45" spans="1:7" ht="14.4" x14ac:dyDescent="0.3">
      <c r="A45" s="105">
        <v>37</v>
      </c>
      <c r="B45" t="s">
        <v>91</v>
      </c>
      <c r="C45" s="120">
        <v>8365</v>
      </c>
      <c r="D45" s="114">
        <v>210</v>
      </c>
      <c r="E45" s="115">
        <v>8575</v>
      </c>
      <c r="F45" s="21">
        <f t="shared" si="0"/>
        <v>7.5472860575442058E-2</v>
      </c>
      <c r="G45" s="109"/>
    </row>
    <row r="46" spans="1:7" ht="14.4" x14ac:dyDescent="0.3">
      <c r="A46" s="105">
        <v>38</v>
      </c>
      <c r="B46" t="s">
        <v>92</v>
      </c>
      <c r="C46" s="120">
        <v>2935</v>
      </c>
      <c r="D46" s="114">
        <v>82</v>
      </c>
      <c r="E46" s="115">
        <v>3017</v>
      </c>
      <c r="F46" s="21">
        <f t="shared" si="0"/>
        <v>2.6554124822869816E-2</v>
      </c>
    </row>
    <row r="47" spans="1:7" ht="14.4" x14ac:dyDescent="0.3">
      <c r="A47" s="105">
        <v>39</v>
      </c>
      <c r="B47" t="s">
        <v>93</v>
      </c>
      <c r="C47" s="120">
        <v>733</v>
      </c>
      <c r="D47" s="114">
        <v>132</v>
      </c>
      <c r="E47" s="115">
        <v>865</v>
      </c>
      <c r="F47" s="21">
        <f t="shared" si="0"/>
        <v>7.6132973058609188E-3</v>
      </c>
    </row>
    <row r="48" spans="1:7" ht="14.4" x14ac:dyDescent="0.3">
      <c r="A48" s="105">
        <v>40</v>
      </c>
      <c r="B48" t="s">
        <v>95</v>
      </c>
      <c r="C48" s="120">
        <v>1</v>
      </c>
      <c r="D48" s="114"/>
      <c r="E48" s="115">
        <v>1</v>
      </c>
      <c r="F48" s="21">
        <f t="shared" si="0"/>
        <v>8.8014997755617565E-6</v>
      </c>
    </row>
    <row r="49" spans="1:10" ht="14.4" x14ac:dyDescent="0.3">
      <c r="A49" s="105">
        <v>41</v>
      </c>
      <c r="B49" t="s">
        <v>94</v>
      </c>
      <c r="C49" s="120">
        <v>1752</v>
      </c>
      <c r="D49" s="114">
        <v>319</v>
      </c>
      <c r="E49" s="115">
        <v>2071</v>
      </c>
      <c r="F49" s="21">
        <f t="shared" si="0"/>
        <v>1.8227906035188396E-2</v>
      </c>
    </row>
    <row r="50" spans="1:10" x14ac:dyDescent="0.25">
      <c r="A50" s="105"/>
      <c r="B50" s="108" t="s">
        <v>60</v>
      </c>
      <c r="C50" s="116">
        <v>92999</v>
      </c>
      <c r="D50" s="117">
        <v>20618</v>
      </c>
      <c r="E50" s="118">
        <v>113617</v>
      </c>
      <c r="F50" s="21">
        <f>SUM(F9:F49)</f>
        <v>0.99999999999999989</v>
      </c>
    </row>
    <row r="51" spans="1:10" x14ac:dyDescent="0.25">
      <c r="A51" s="106"/>
    </row>
    <row r="52" spans="1:10" x14ac:dyDescent="0.25">
      <c r="A52" s="1" t="s">
        <v>23</v>
      </c>
      <c r="B52" s="103"/>
    </row>
    <row r="53" spans="1:10" x14ac:dyDescent="0.25">
      <c r="A53" s="1" t="s">
        <v>22</v>
      </c>
      <c r="J53" s="104"/>
    </row>
    <row r="54" spans="1:10" x14ac:dyDescent="0.25">
      <c r="A54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4"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7.6640625" style="2" customWidth="1"/>
    <col min="9" max="9" width="11.6640625" style="2" customWidth="1"/>
    <col min="10" max="16384" width="9.109375" style="2"/>
  </cols>
  <sheetData>
    <row r="1" spans="1:9" s="8" customFormat="1" ht="18" customHeight="1" x14ac:dyDescent="0.25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5">
      <c r="A2" s="121" t="s">
        <v>57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5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5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5">
      <c r="A6" s="9" t="str">
        <f>'Summary Load Customers '!A6</f>
        <v>Data as of September 30,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3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4">
      <c r="B9" s="27"/>
      <c r="C9" s="27"/>
      <c r="D9" s="58"/>
      <c r="E9" s="58"/>
      <c r="F9" s="65"/>
      <c r="G9" s="65"/>
      <c r="H9" s="27"/>
    </row>
    <row r="10" spans="1:9" ht="18" customHeight="1" x14ac:dyDescent="0.25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 x14ac:dyDescent="0.25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 x14ac:dyDescent="0.25">
      <c r="A13" s="39" t="s">
        <v>44</v>
      </c>
      <c r="B13" s="42">
        <f>REC_programs_detail!B23</f>
        <v>3504</v>
      </c>
      <c r="C13" s="43">
        <f>IF(B13=0,0,B13/'Summary Load Customers '!$B$22)</f>
        <v>1.170199975954795E-2</v>
      </c>
      <c r="D13" s="42">
        <f>REC_programs_detail!C23</f>
        <v>39</v>
      </c>
      <c r="E13" s="43">
        <f>IF(D13=0,0,D13/('Summary Load Customers '!$D$22+'Summary Load Customers '!$F$22))</f>
        <v>1.0251557448150777E-3</v>
      </c>
      <c r="F13" s="42">
        <f>B13+D13</f>
        <v>3543</v>
      </c>
      <c r="G13" s="43">
        <f>IF(F13=0,0,F13/'Summary Load Customers '!$H$22)</f>
        <v>1.0498431013485283E-2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3,543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5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 x14ac:dyDescent="0.25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 x14ac:dyDescent="0.25">
      <c r="A20" s="39" t="s">
        <v>45</v>
      </c>
      <c r="B20" s="42">
        <f>REC_programs_detail!B29</f>
        <v>646</v>
      </c>
      <c r="C20" s="43">
        <f>IF(B20=0,0,B20/'Summary Load Customers '!$B$22)</f>
        <v>2.157389225076477E-3</v>
      </c>
      <c r="D20" s="42">
        <f>REC_programs_detail!C29</f>
        <v>59</v>
      </c>
      <c r="E20" s="43">
        <f>IF(D20=0,0,D20/('Summary Load Customers '!$D$22+'Summary Load Customers '!$F$22))</f>
        <v>1.5508766395920406E-3</v>
      </c>
      <c r="F20" s="42">
        <f>B20+D20</f>
        <v>705</v>
      </c>
      <c r="G20" s="43">
        <f>IF(F20=0,0,F20/'Summary Load Customers '!$H$22)</f>
        <v>2.0890188722853865E-3</v>
      </c>
    </row>
    <row r="21" spans="1:9" ht="18" customHeight="1" x14ac:dyDescent="0.25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5">
      <c r="A22" s="99" t="str">
        <f>"As the above table shows, "&amp;TEXT(F20,"0,000")&amp;" of UI's customers, or "&amp;TEXT(G20,"0.0%")&amp;" are participating in the REC only program."</f>
        <v>As the above table shows, 0,705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3.8" x14ac:dyDescent="0.25">
      <c r="A23" s="45"/>
    </row>
    <row r="24" spans="1:9" ht="13.8" x14ac:dyDescent="0.2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3.8" x14ac:dyDescent="0.2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3.8" x14ac:dyDescent="0.2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3.8" x14ac:dyDescent="0.25">
      <c r="A27" s="39" t="s">
        <v>46</v>
      </c>
      <c r="B27" s="42">
        <f>B13+B20</f>
        <v>4150</v>
      </c>
      <c r="C27" s="43">
        <f>IF(B27=0,0,B27/'Summary Load Customers '!$B$22)</f>
        <v>1.3859388984624427E-2</v>
      </c>
      <c r="D27" s="42">
        <f>D13+D20</f>
        <v>98</v>
      </c>
      <c r="E27" s="43">
        <f>IF(D27=0,0,D27/('Summary Load Customers '!$D$22+'Summary Load Customers '!$F$22))</f>
        <v>2.5760323844071184E-3</v>
      </c>
      <c r="F27" s="42">
        <f>B27+D27</f>
        <v>4248</v>
      </c>
      <c r="G27" s="43">
        <f>IF(F27=0,0,F27/'Summary Load Customers '!$H$22)</f>
        <v>1.2587449885770671E-2</v>
      </c>
    </row>
    <row r="28" spans="1:9" ht="13.8" x14ac:dyDescent="0.25">
      <c r="G28" s="49"/>
      <c r="H28" s="27"/>
    </row>
    <row r="29" spans="1:9" ht="13.8" x14ac:dyDescent="0.25">
      <c r="A29" s="99" t="str">
        <f>"As the above table shows, "&amp;TEXT(F27,"0,000")&amp;" of UI's customers, or "&amp;TEXT(G27,"0.0%")&amp;" are participating in the combined REC programs."</f>
        <v>As the above table shows, 4,248 of UI's customers, or 1.3% are participating in the combined REC programs.</v>
      </c>
      <c r="G29" s="49"/>
      <c r="H29" s="27"/>
    </row>
    <row r="31" spans="1:9" ht="13.8" x14ac:dyDescent="0.25">
      <c r="A31" s="66" t="s">
        <v>32</v>
      </c>
    </row>
    <row r="32" spans="1:9" ht="13.8" x14ac:dyDescent="0.25">
      <c r="A32" s="66"/>
    </row>
    <row r="33" spans="1:1" ht="13.8" x14ac:dyDescent="0.25">
      <c r="A33" s="66" t="s">
        <v>54</v>
      </c>
    </row>
    <row r="34" spans="1:1" x14ac:dyDescent="0.25">
      <c r="A34" s="67" t="s">
        <v>52</v>
      </c>
    </row>
    <row r="36" spans="1:1" x14ac:dyDescent="0.25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zoomScale="110" zoomScaleNormal="110" workbookViewId="0">
      <selection activeCell="F15" sqref="F15"/>
    </sheetView>
  </sheetViews>
  <sheetFormatPr defaultColWidth="9.109375" defaultRowHeight="10.199999999999999" x14ac:dyDescent="0.2"/>
  <cols>
    <col min="1" max="1" width="28" style="74" customWidth="1"/>
    <col min="2" max="3" width="19.109375" style="74" customWidth="1"/>
    <col min="4" max="4" width="20.33203125" style="74" customWidth="1"/>
    <col min="5" max="5" width="7.109375" style="74" customWidth="1"/>
    <col min="6" max="6" width="23.33203125" style="74" bestFit="1" customWidth="1"/>
    <col min="7" max="7" width="10.44140625" style="74" customWidth="1"/>
    <col min="8" max="16384" width="9.109375" style="74"/>
  </cols>
  <sheetData>
    <row r="1" spans="1:9" s="73" customFormat="1" ht="15" customHeight="1" x14ac:dyDescent="0.25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5">
      <c r="A2" s="123" t="s">
        <v>57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5">
      <c r="A3" s="122" t="s">
        <v>35</v>
      </c>
      <c r="B3" s="122"/>
      <c r="C3" s="122"/>
      <c r="D3" s="122"/>
      <c r="E3" s="71"/>
      <c r="F3" s="71"/>
      <c r="G3" s="72"/>
    </row>
    <row r="4" spans="1:9" s="73" customFormat="1" ht="15" customHeight="1" x14ac:dyDescent="0.25">
      <c r="A4" s="122" t="s">
        <v>2</v>
      </c>
      <c r="B4" s="122"/>
      <c r="C4" s="122"/>
      <c r="D4" s="122"/>
      <c r="E4" s="71"/>
      <c r="F4" s="71"/>
      <c r="G4" s="72"/>
    </row>
    <row r="5" spans="1:9" s="73" customFormat="1" ht="15" customHeight="1" x14ac:dyDescent="0.25">
      <c r="A5" s="122" t="str">
        <f>'Summary Load Customers '!A6</f>
        <v>Data as of September 30, 2018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0.399999999999999" x14ac:dyDescent="0.2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 x14ac:dyDescent="0.2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15</v>
      </c>
      <c r="B9" s="84">
        <v>132</v>
      </c>
      <c r="C9" s="84">
        <v>2</v>
      </c>
      <c r="D9" s="85">
        <f>SUM(B9:C9)</f>
        <v>134</v>
      </c>
      <c r="E9" s="87"/>
      <c r="F9" s="87"/>
      <c r="G9" s="86"/>
      <c r="H9" s="75"/>
    </row>
    <row r="10" spans="1:9" x14ac:dyDescent="0.2">
      <c r="A10" s="82" t="s">
        <v>16</v>
      </c>
      <c r="B10" s="84">
        <v>2876</v>
      </c>
      <c r="C10" s="84">
        <v>36</v>
      </c>
      <c r="D10" s="85">
        <f>SUM(B10:C10)</f>
        <v>2912</v>
      </c>
      <c r="E10" s="88"/>
      <c r="F10" s="89"/>
      <c r="G10" s="86"/>
      <c r="H10" s="75"/>
    </row>
    <row r="11" spans="1:9" x14ac:dyDescent="0.2">
      <c r="A11" s="90" t="s">
        <v>7</v>
      </c>
      <c r="B11" s="91">
        <f>IF(B9+B10=0,0,B9+B10)</f>
        <v>3008</v>
      </c>
      <c r="C11" s="91">
        <f>IF(SUM(C8:C10)=0,0,SUM(C8:C10))</f>
        <v>38</v>
      </c>
      <c r="D11" s="91">
        <f>IF(SUM(D8:D10)=0,0,SUM(D8:D10))</f>
        <v>3046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0.399999999999999" x14ac:dyDescent="0.2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 x14ac:dyDescent="0.2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 x14ac:dyDescent="0.2">
      <c r="A16" s="82" t="s">
        <v>16</v>
      </c>
      <c r="B16" s="84">
        <v>493</v>
      </c>
      <c r="C16" s="84">
        <v>1</v>
      </c>
      <c r="D16" s="85">
        <f>SUM(B16:C16)</f>
        <v>494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496</v>
      </c>
      <c r="C17" s="91">
        <f>IF(SUM(C14:C16)=0,0,SUM(C14:C16))</f>
        <v>1</v>
      </c>
      <c r="D17" s="91">
        <f>IF(SUM(D14:D16)=0,0,SUM(D14:D16))</f>
        <v>497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0.399999999999999" x14ac:dyDescent="0.2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 x14ac:dyDescent="0.2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15</v>
      </c>
      <c r="B21" s="96">
        <f>IF(B9+B15=0,0,B9+B15)</f>
        <v>135</v>
      </c>
      <c r="C21" s="96">
        <f>IF(C9+C15=0,0,C9+C15)</f>
        <v>2</v>
      </c>
      <c r="D21" s="85">
        <f t="shared" si="0"/>
        <v>137</v>
      </c>
      <c r="E21" s="86"/>
      <c r="F21" s="93"/>
      <c r="G21" s="93"/>
      <c r="H21" s="75"/>
    </row>
    <row r="22" spans="1:8" x14ac:dyDescent="0.2">
      <c r="A22" s="82" t="s">
        <v>16</v>
      </c>
      <c r="B22" s="96">
        <f>IF(B10+B16=0,0,B10+B16)</f>
        <v>3369</v>
      </c>
      <c r="C22" s="96">
        <f>IF(C10+C16=0,0,C10+C16)</f>
        <v>37</v>
      </c>
      <c r="D22" s="85">
        <f>IF(D10+D16=0,0,D10+D16)</f>
        <v>3406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3504</v>
      </c>
      <c r="C23" s="91">
        <f>IF(SUM(C20:C22)=0,0,SUM(C20:C22))</f>
        <v>39</v>
      </c>
      <c r="D23" s="91">
        <f>SUM(D20:D22)</f>
        <v>3543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0.399999999999999" x14ac:dyDescent="0.2">
      <c r="A25" s="76" t="s">
        <v>38</v>
      </c>
      <c r="B25" s="76" t="s">
        <v>5</v>
      </c>
      <c r="C25" s="76" t="s">
        <v>6</v>
      </c>
      <c r="D25" s="76" t="s">
        <v>33</v>
      </c>
    </row>
    <row r="26" spans="1:8" x14ac:dyDescent="0.2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15</v>
      </c>
      <c r="B27" s="84">
        <v>187</v>
      </c>
      <c r="C27" s="84">
        <v>11</v>
      </c>
      <c r="D27" s="85">
        <f>SUM(B27:C27)</f>
        <v>198</v>
      </c>
    </row>
    <row r="28" spans="1:8" x14ac:dyDescent="0.2">
      <c r="A28" s="82" t="s">
        <v>16</v>
      </c>
      <c r="B28" s="84">
        <v>459</v>
      </c>
      <c r="C28" s="84">
        <v>48</v>
      </c>
      <c r="D28" s="85">
        <f>SUM(B28:C28)</f>
        <v>507</v>
      </c>
    </row>
    <row r="29" spans="1:8" x14ac:dyDescent="0.2">
      <c r="A29" s="90" t="str">
        <f>A23</f>
        <v>Total</v>
      </c>
      <c r="B29" s="110">
        <f>IF(B27+B28=0,0,B27+B28)</f>
        <v>646</v>
      </c>
      <c r="C29" s="91">
        <f>IF(SUM(C26:C28)=0,0,SUM(C26:C28))</f>
        <v>59</v>
      </c>
      <c r="D29" s="91">
        <f>IF(SUM(D26:D28)=0,0,SUM(D26:D28))</f>
        <v>705</v>
      </c>
    </row>
    <row r="31" spans="1:8" x14ac:dyDescent="0.2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 x14ac:dyDescent="0.2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15</v>
      </c>
      <c r="B33" s="96">
        <f>B21+B27</f>
        <v>322</v>
      </c>
      <c r="C33" s="96">
        <f t="shared" si="1"/>
        <v>13</v>
      </c>
      <c r="D33" s="85">
        <f t="shared" si="1"/>
        <v>335</v>
      </c>
      <c r="E33" s="75"/>
      <c r="F33" s="75"/>
      <c r="G33" s="75"/>
    </row>
    <row r="34" spans="1:7" x14ac:dyDescent="0.2">
      <c r="A34" s="82" t="s">
        <v>16</v>
      </c>
      <c r="B34" s="96">
        <f>B22+B28</f>
        <v>3828</v>
      </c>
      <c r="C34" s="96">
        <f t="shared" si="1"/>
        <v>85</v>
      </c>
      <c r="D34" s="85">
        <f t="shared" si="1"/>
        <v>3913</v>
      </c>
    </row>
    <row r="35" spans="1:7" x14ac:dyDescent="0.2">
      <c r="A35" s="90" t="str">
        <f>A29</f>
        <v>Total</v>
      </c>
      <c r="B35" s="91">
        <f>IF(B33+B34=0,0,B33+B34)</f>
        <v>4150</v>
      </c>
      <c r="C35" s="91">
        <f>IF(SUM(C32:C34)=0,0,SUM(C32:C34))</f>
        <v>98</v>
      </c>
      <c r="D35" s="91">
        <f>SUM(D32:D34)</f>
        <v>4248</v>
      </c>
    </row>
    <row r="37" spans="1:7" x14ac:dyDescent="0.2">
      <c r="A37" s="97" t="str">
        <f>"In summary, "&amp;TEXT($D$23,"0,000")&amp; " of UI's customers are participating in the CTCleanEnergyOptions Program"</f>
        <v>In summary, 3,543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705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4,248 of UI's customers are participating in all REC programs</v>
      </c>
    </row>
    <row r="41" spans="1:7" x14ac:dyDescent="0.2">
      <c r="A41" s="98" t="s">
        <v>21</v>
      </c>
    </row>
    <row r="42" spans="1:7" x14ac:dyDescent="0.2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2018-10-04T19:19:50Z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2058214650</vt:i4>
  </property>
  <property fmtid="{D5CDD505-2E9C-101B-9397-08002B2CF9AE}" pid="4" name="_NewReviewCycle">
    <vt:lpwstr/>
  </property>
  <property fmtid="{D5CDD505-2E9C-101B-9397-08002B2CF9AE}" pid="5" name="_EmailSubject">
    <vt:lpwstr>Please updat the following on the website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