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08" yWindow="2328" windowWidth="20196" windowHeight="4416" tabRatio="838" activeTab="3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F21" i="7" l="1"/>
  <c r="F20" i="7"/>
  <c r="D21" i="7"/>
  <c r="D20" i="7"/>
  <c r="B21" i="7"/>
  <c r="B20" i="7"/>
  <c r="F12" i="7" l="1"/>
  <c r="F11" i="7"/>
  <c r="D12" i="7"/>
  <c r="D11" i="7"/>
  <c r="B12" i="7"/>
  <c r="B11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 l="1"/>
  <c r="B32" i="5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H11" i="7"/>
  <c r="D13" i="7"/>
  <c r="E12" i="7" s="1"/>
  <c r="G11" i="7" l="1"/>
  <c r="H13" i="7"/>
  <c r="I12" i="7" s="1"/>
  <c r="A15" i="7" s="1"/>
  <c r="E11" i="7"/>
  <c r="I11" i="7" l="1"/>
  <c r="A14" i="7" s="1"/>
</calcChain>
</file>

<file path=xl/sharedStrings.xml><?xml version="1.0" encoding="utf-8"?>
<sst xmlns="http://schemas.openxmlformats.org/spreadsheetml/2006/main" count="163" uniqueCount="97">
  <si>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</si>
  <si>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</si>
  <si>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</si>
  <si>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</si>
  <si>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</si>
  <si>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</si>
  <si>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</si>
  <si>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</si>
  <si>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</si>
  <si>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</si>
  <si>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</si>
  <si>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</si>
  <si>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</si>
  <si>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</si>
  <si>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</si>
  <si>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</si>
  <si>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</si>
  <si>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</si>
  <si>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</si>
  <si>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</si>
  <si>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</si>
  <si>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</si>
  <si>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</si>
  <si>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</si>
  <si>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</si>
  <si>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</si>
  <si>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</si>
  <si>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</si>
  <si>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</si>
  <si>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</si>
  <si>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</si>
  <si>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</si>
  <si>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</si>
  <si>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</si>
  <si>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</si>
  <si>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</si>
  <si>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</si>
  <si>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</si>
  <si>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</si>
  <si>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</si>
  <si>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</si>
  <si>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</si>
  <si>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</si>
  <si>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</si>
  <si>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</si>
  <si>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</si>
  <si>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</si>
  <si>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</si>
  <si>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</si>
  <si>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</si>
  <si>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</si>
  <si>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</si>
  <si>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</si>
  <si>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</si>
  <si>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</si>
  <si>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BlueRock Energy, Inc.</t>
  </si>
  <si>
    <t>Think Energy</t>
  </si>
  <si>
    <t>Attachment 1</t>
  </si>
  <si>
    <t>Agera Energy, LLC</t>
  </si>
  <si>
    <t>Direct Energy Business</t>
  </si>
  <si>
    <t>Totals</t>
  </si>
  <si>
    <t>Aequitas Energy, Inc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</si>
  <si>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</si>
  <si>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</si>
  <si>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</si>
  <si>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</si>
  <si>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</si>
  <si>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</si>
  <si>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</si>
  <si>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</si>
  <si>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</si>
  <si>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</si>
  <si>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</si>
  <si>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</si>
  <si>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</si>
  <si>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</si>
  <si>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</si>
  <si>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Great Eastern Energy</t>
  </si>
  <si>
    <t>HIKO Energy,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</si>
  <si>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</si>
  <si>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</si>
  <si>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</si>
  <si>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</si>
  <si>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</si>
  <si>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</si>
  <si>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Perigee Energy, LLC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</si>
  <si>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</si>
  <si>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</si>
  <si>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</si>
  <si>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</si>
  <si>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</si>
  <si>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</si>
  <si>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</si>
  <si>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</si>
  <si>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</si>
  <si>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</si>
  <si>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Data as of October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</si>
</sst>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[$-409]mmmm\ d\,\ yyyy;@"/>
  </numFmts>
  <fonts count="2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21" fillId="0" borderId="11" xfId="0" applyNumberFormat="1" applyFont="1" applyFill="1" applyBorder="1"/>
    <xf numFmtId="0" fontId="21" fillId="0" borderId="12" xfId="0" applyNumberFormat="1" applyFont="1" applyFill="1" applyBorder="1"/>
    <xf numFmtId="0" fontId="21" fillId="0" borderId="13" xfId="0" applyNumberFormat="1" applyFont="1" applyFill="1" applyBorder="1"/>
    <xf numFmtId="0" fontId="21" fillId="0" borderId="14" xfId="0" applyNumberFormat="1" applyFont="1" applyFill="1" applyBorder="1"/>
    <xf numFmtId="0" fontId="21" fillId="0" borderId="0" xfId="0" applyNumberFormat="1" applyFont="1" applyFill="1" applyBorder="1"/>
    <xf numFmtId="0" fontId="21" fillId="0" borderId="15" xfId="0" applyNumberFormat="1" applyFont="1" applyFill="1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8_Total/2018_10_October_total_load_by_segment_Backu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_count_files/2018/201810_October_2018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4">
          <cell r="H24">
            <v>49144.303999999946</v>
          </cell>
        </row>
        <row r="25">
          <cell r="H25">
            <v>107847.62400000016</v>
          </cell>
        </row>
        <row r="26">
          <cell r="H26">
            <v>94673.562000000005</v>
          </cell>
        </row>
        <row r="29">
          <cell r="H29">
            <v>99847.425999999992</v>
          </cell>
        </row>
        <row r="30">
          <cell r="H30">
            <v>48777.450999999994</v>
          </cell>
        </row>
        <row r="31">
          <cell r="H31">
            <v>5339.3829999999989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B18">
            <v>91779</v>
          </cell>
        </row>
        <row r="19">
          <cell r="B19">
            <v>20086</v>
          </cell>
        </row>
        <row r="20">
          <cell r="B20">
            <v>216</v>
          </cell>
        </row>
        <row r="22">
          <cell r="B22">
            <v>208127</v>
          </cell>
        </row>
        <row r="23">
          <cell r="B23">
            <v>17706</v>
          </cell>
        </row>
        <row r="24">
          <cell r="B24">
            <v>29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zoomScaleNormal="100" workbookViewId="0">
      <selection activeCell="F21" sqref="F21"/>
    </sheetView>
  </sheetViews>
  <sheetFormatPr defaultColWidth="9.109375" defaultRowHeight="13.2" x14ac:dyDescent="0.25"/>
  <cols>
    <col min="1" max="1" width="18.109375" style="2" customWidth="1"/>
    <col min="2" max="2" width="14.33203125" style="2" customWidth="1"/>
    <col min="3" max="3" width="11.6640625" style="2" customWidth="1"/>
    <col min="4" max="4" width="14.33203125" style="2" customWidth="1"/>
    <col min="5" max="5" width="11.6640625" style="2" customWidth="1"/>
    <col min="6" max="6" width="14.33203125" style="2" customWidth="1"/>
    <col min="7" max="7" width="11.6640625" style="2" customWidth="1"/>
    <col min="8" max="8" width="14.33203125" style="2" customWidth="1"/>
    <col min="9" max="9" width="11.6640625" style="2" customWidth="1"/>
    <col min="10" max="16384" width="9.109375" style="2"/>
  </cols>
  <sheetData>
    <row r="1" spans="1:15" s="8" customFormat="1" ht="18" customHeight="1" x14ac:dyDescent="0.25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5">
      <c r="A2" s="22" t="s">
        <v>57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5">
      <c r="A3" s="22" t="s">
        <v>34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5">
      <c r="A4" s="22" t="s">
        <v>27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5">
      <c r="A5" s="26" t="s">
        <v>2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5">
      <c r="A6" s="111" t="s">
        <v>96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 x14ac:dyDescent="0.25">
      <c r="A8" s="28" t="s">
        <v>30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5">
      <c r="A9" s="2"/>
      <c r="B9" s="31" t="s">
        <v>31</v>
      </c>
      <c r="C9" s="32"/>
      <c r="D9" s="31" t="s">
        <v>8</v>
      </c>
      <c r="E9" s="33"/>
      <c r="F9" s="31" t="s">
        <v>9</v>
      </c>
      <c r="G9" s="34"/>
      <c r="H9" s="31" t="s">
        <v>33</v>
      </c>
      <c r="I9" s="33"/>
    </row>
    <row r="10" spans="1:15" ht="18" customHeight="1" x14ac:dyDescent="0.25">
      <c r="A10" s="36"/>
      <c r="B10" s="37" t="s">
        <v>10</v>
      </c>
      <c r="C10" s="38" t="s">
        <v>20</v>
      </c>
      <c r="D10" s="37" t="str">
        <f>B10</f>
        <v>MWh</v>
      </c>
      <c r="E10" s="38" t="s">
        <v>20</v>
      </c>
      <c r="F10" s="37" t="str">
        <f>D10</f>
        <v>MWh</v>
      </c>
      <c r="G10" s="38" t="s">
        <v>20</v>
      </c>
      <c r="H10" s="37" t="str">
        <f>F10</f>
        <v>MWh</v>
      </c>
      <c r="I10" s="38" t="s">
        <v>19</v>
      </c>
    </row>
    <row r="11" spans="1:15" ht="18" customHeight="1" x14ac:dyDescent="0.25">
      <c r="A11" s="39" t="s">
        <v>11</v>
      </c>
      <c r="B11" s="68">
        <f>[1]Check!$H$24</f>
        <v>49144.303999999946</v>
      </c>
      <c r="C11" s="40">
        <f>IF(B11=0,0,B11/$B$13)</f>
        <v>0.32984585117576642</v>
      </c>
      <c r="D11" s="68">
        <f>[1]Check!$H$25</f>
        <v>107847.62400000016</v>
      </c>
      <c r="E11" s="40">
        <f>IF(D11=0,0,D11/$D$13)</f>
        <v>0.68857189054817725</v>
      </c>
      <c r="F11" s="68">
        <f>[1]Check!$H$26</f>
        <v>94673.562000000005</v>
      </c>
      <c r="G11" s="40">
        <f>IF(F11=0,0,F11/$F$13)</f>
        <v>0.94661308093667273</v>
      </c>
      <c r="H11" s="41">
        <f>IF(B11+D11+F11=0,0,B11+D11+F11)</f>
        <v>251665.49000000011</v>
      </c>
      <c r="I11" s="40">
        <f>IF(H11=0,0,H11/$H$13)</f>
        <v>0.62043153886025382</v>
      </c>
    </row>
    <row r="12" spans="1:15" ht="18" customHeight="1" x14ac:dyDescent="0.25">
      <c r="A12" s="39" t="s">
        <v>12</v>
      </c>
      <c r="B12" s="69">
        <f>[1]Check!$H$29</f>
        <v>99847.425999999992</v>
      </c>
      <c r="C12" s="40">
        <f>IF(B12=0,0,B12/$B$13)</f>
        <v>0.67015414882423374</v>
      </c>
      <c r="D12" s="69">
        <f>[1]Check!$H$30</f>
        <v>48777.450999999994</v>
      </c>
      <c r="E12" s="40">
        <f>IF(D12=0,0,D12/$D$13)</f>
        <v>0.31142810945182275</v>
      </c>
      <c r="F12" s="69">
        <f>[1]Check!$H$31</f>
        <v>5339.3829999999989</v>
      </c>
      <c r="G12" s="40">
        <f>IF(F12=0,0,F12/$F$13)</f>
        <v>5.3386919063327237E-2</v>
      </c>
      <c r="H12" s="102">
        <f>IF(B12+D12+F12=0,0,B12+D12+F12)</f>
        <v>153964.25999999998</v>
      </c>
      <c r="I12" s="40">
        <f>IF(H12=0,0,H12/$H$13)</f>
        <v>0.37956846113974613</v>
      </c>
    </row>
    <row r="13" spans="1:15" ht="18" customHeight="1" x14ac:dyDescent="0.25">
      <c r="A13" s="107" t="s">
        <v>7</v>
      </c>
      <c r="B13" s="42">
        <f>SUM(B11:B12)</f>
        <v>148991.72999999992</v>
      </c>
      <c r="C13" s="43"/>
      <c r="D13" s="42">
        <f>SUM(D11:D12)</f>
        <v>156625.07500000016</v>
      </c>
      <c r="E13" s="43"/>
      <c r="F13" s="42">
        <f>SUM(F11:F12)</f>
        <v>100012.94500000001</v>
      </c>
      <c r="G13" s="43"/>
      <c r="H13" s="42">
        <f>IF(H11+H12=0,0,H11+H12)</f>
        <v>405629.75000000012</v>
      </c>
      <c r="I13" s="44"/>
    </row>
    <row r="14" spans="1:15" ht="18" customHeight="1" x14ac:dyDescent="0.25">
      <c r="A14" s="99" t="str">
        <f>"As the above table shows, "&amp;TEXT(H11,"0,000")&amp; " MWh, or "&amp;TEXT(I11,"0.0%")&amp;" of UI's total load is served by electric suppliers"</f>
        <v>As the above table shows, 251,665 MWh, or 62.0% of UI's total load is served by electric suppliers</v>
      </c>
      <c r="H14" s="27"/>
      <c r="L14" s="101"/>
      <c r="M14" s="101"/>
      <c r="O14" s="101"/>
    </row>
    <row r="15" spans="1:15" ht="18" customHeight="1" x14ac:dyDescent="0.25">
      <c r="A15" s="99" t="str">
        <f>"while "&amp;TEXT(H12,"0,000")&amp;" MHh, or "&amp;TEXT(I12,"0.0%")&amp;" of the load is provided under Standard Service or Last Resort service through UI."</f>
        <v>while 153,964 MHh, or 38.0%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3.8" x14ac:dyDescent="0.25">
      <c r="G16" s="49"/>
      <c r="H16" s="27"/>
    </row>
    <row r="17" spans="1:17" ht="18" customHeight="1" x14ac:dyDescent="0.25">
      <c r="A17" s="28" t="s">
        <v>29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 x14ac:dyDescent="0.25">
      <c r="A18" s="39"/>
      <c r="B18" s="31" t="s">
        <v>31</v>
      </c>
      <c r="C18" s="51"/>
      <c r="D18" s="31" t="s">
        <v>8</v>
      </c>
      <c r="E18" s="52"/>
      <c r="F18" s="31" t="s">
        <v>9</v>
      </c>
      <c r="G18" s="34"/>
      <c r="H18" s="31" t="s">
        <v>33</v>
      </c>
      <c r="I18" s="33"/>
      <c r="O18" s="100"/>
    </row>
    <row r="19" spans="1:17" ht="18" customHeight="1" x14ac:dyDescent="0.25">
      <c r="A19" s="36"/>
      <c r="B19" s="37" t="s">
        <v>14</v>
      </c>
      <c r="C19" s="38" t="s">
        <v>20</v>
      </c>
      <c r="D19" s="37" t="str">
        <f>B19</f>
        <v>Customers</v>
      </c>
      <c r="E19" s="38" t="s">
        <v>20</v>
      </c>
      <c r="F19" s="37" t="str">
        <f>D19</f>
        <v>Customers</v>
      </c>
      <c r="G19" s="38" t="s">
        <v>20</v>
      </c>
      <c r="H19" s="37" t="str">
        <f>F19</f>
        <v>Customers</v>
      </c>
      <c r="I19" s="38" t="s">
        <v>19</v>
      </c>
    </row>
    <row r="20" spans="1:17" ht="18" customHeight="1" x14ac:dyDescent="0.25">
      <c r="A20" s="39" t="str">
        <f>A11</f>
        <v>Suppliers</v>
      </c>
      <c r="B20" s="68">
        <f>[2]Summary!$B$18</f>
        <v>91779</v>
      </c>
      <c r="C20" s="40">
        <f>IF(B20=0,0,B20/$B$22)</f>
        <v>0.3060258881116083</v>
      </c>
      <c r="D20" s="68">
        <f>[2]Summary!$B$19</f>
        <v>20086</v>
      </c>
      <c r="E20" s="53">
        <f>IF(D20=0,0,D20/$D$22)</f>
        <v>0.5314881456392887</v>
      </c>
      <c r="F20" s="68">
        <f>[2]Summary!$B$20</f>
        <v>216</v>
      </c>
      <c r="G20" s="40">
        <f>IF(F20=0,0,F20/$F$22)</f>
        <v>0.88163265306122451</v>
      </c>
      <c r="H20" s="41">
        <f>IF(B20+D20+F20=0,0,B20+D20+F20)</f>
        <v>112081</v>
      </c>
      <c r="I20" s="40">
        <f>IF(H20=0,0,H20/$H$22)</f>
        <v>0.33165652195784495</v>
      </c>
      <c r="J20" s="54"/>
      <c r="K20" s="54"/>
      <c r="M20" s="101"/>
    </row>
    <row r="21" spans="1:17" ht="18" customHeight="1" x14ac:dyDescent="0.25">
      <c r="A21" s="39" t="str">
        <f>A12</f>
        <v>UI</v>
      </c>
      <c r="B21" s="69">
        <f>[2]Summary!$B$22</f>
        <v>208127</v>
      </c>
      <c r="C21" s="40">
        <f>IF(B21=0,0,B21/$B$22)</f>
        <v>0.69397411188839164</v>
      </c>
      <c r="D21" s="69">
        <f>[2]Summary!$B$23</f>
        <v>17706</v>
      </c>
      <c r="E21" s="53">
        <f>IF(D21=0,0,D21/$D$22)</f>
        <v>0.46851185436071124</v>
      </c>
      <c r="F21" s="68">
        <f>[2]Summary!$B$24</f>
        <v>29</v>
      </c>
      <c r="G21" s="40">
        <f>IF(F21=0,0,F21/$F$22)</f>
        <v>0.11836734693877551</v>
      </c>
      <c r="H21" s="69">
        <f>IF(B21+D21+F21=0,0,B21+D21+F21)</f>
        <v>225862</v>
      </c>
      <c r="I21" s="40">
        <f>IF(H21=0,0,H21/$H$22)</f>
        <v>0.66834347804215499</v>
      </c>
    </row>
    <row r="22" spans="1:17" ht="18" customHeight="1" x14ac:dyDescent="0.25">
      <c r="A22" s="39" t="str">
        <f>A13</f>
        <v>Total</v>
      </c>
      <c r="B22" s="42">
        <f>SUM(B20:B21)</f>
        <v>299906</v>
      </c>
      <c r="C22" s="55"/>
      <c r="D22" s="42">
        <f>SUM(D20:D21)</f>
        <v>37792</v>
      </c>
      <c r="E22" s="43"/>
      <c r="F22" s="42">
        <f>SUM(F20:F21)</f>
        <v>245</v>
      </c>
      <c r="G22" s="43"/>
      <c r="H22" s="42">
        <f>IF(H20+H21=0,0,H20+H21)</f>
        <v>337943</v>
      </c>
      <c r="I22" s="44"/>
      <c r="N22" s="101"/>
      <c r="Q22" s="101"/>
    </row>
    <row r="23" spans="1:17" ht="18" customHeight="1" x14ac:dyDescent="0.25">
      <c r="G23" s="49"/>
      <c r="H23" s="27"/>
    </row>
    <row r="24" spans="1:17" ht="18" customHeight="1" x14ac:dyDescent="0.25">
      <c r="A24" s="99" t="str">
        <f>"As the above table shows, "&amp;TEXT(H20,"0,000")&amp; " of UI's total customers, or "&amp;TEXT(I20,"0.0%")&amp;" are served by electric suppliers"</f>
        <v>As the above table shows, 112,081 of UI's total customers, or 33.2% are served by electric suppliers</v>
      </c>
      <c r="G24" s="49"/>
      <c r="H24" s="27"/>
      <c r="J24" s="101"/>
    </row>
    <row r="25" spans="1:17" ht="18" customHeight="1" x14ac:dyDescent="0.25">
      <c r="A25" s="99" t="str">
        <f>"while "&amp;TEXT(H21,"0,000")&amp;" or "&amp;TEXT(I21,"0.0%")&amp;" of the customers continue to receive Standard Service or Last Resort service through UI."</f>
        <v>while 225,862 or 66.8%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 x14ac:dyDescent="0.25">
      <c r="B26" s="27"/>
      <c r="C26" s="27"/>
      <c r="D26" s="58"/>
      <c r="E26" s="58"/>
      <c r="F26" s="59"/>
      <c r="G26" s="59"/>
      <c r="H26" s="27"/>
    </row>
    <row r="28" spans="1:17" ht="13.8" x14ac:dyDescent="0.25">
      <c r="A28" s="66" t="s">
        <v>28</v>
      </c>
      <c r="I28" s="101"/>
    </row>
    <row r="29" spans="1:17" ht="13.8" x14ac:dyDescent="0.25">
      <c r="A29" s="66" t="s">
        <v>32</v>
      </c>
    </row>
    <row r="30" spans="1:17" ht="13.8" x14ac:dyDescent="0.25">
      <c r="A30" s="66" t="s">
        <v>50</v>
      </c>
    </row>
    <row r="31" spans="1:17" x14ac:dyDescent="0.25">
      <c r="A31" s="67" t="s">
        <v>18</v>
      </c>
    </row>
    <row r="32" spans="1:17" x14ac:dyDescent="0.25">
      <c r="A32" s="67" t="s">
        <v>24</v>
      </c>
    </row>
    <row r="36" spans="1:1" x14ac:dyDescent="0.25">
      <c r="A36" s="101"/>
    </row>
  </sheetData>
  <phoneticPr fontId="0" type="noConversion"/>
  <printOptions horizontalCentered="1"/>
  <pageMargins left="0.75" right="0.5" top="1.5" bottom="0.75" header="0.5" footer="0"/>
  <pageSetup scale="76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showGridLines="0" showZeros="0" zoomScaleNormal="100" workbookViewId="0">
      <selection activeCell="F50" sqref="F50"/>
    </sheetView>
  </sheetViews>
  <sheetFormatPr defaultColWidth="9.109375" defaultRowHeight="13.2" x14ac:dyDescent="0.25"/>
  <cols>
    <col min="1" max="1" width="4.44140625" style="1" customWidth="1"/>
    <col min="2" max="2" width="40.33203125" style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2"/>
  </cols>
  <sheetData>
    <row r="1" spans="1:11" s="8" customFormat="1" ht="18" customHeight="1" x14ac:dyDescent="0.25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5">
      <c r="A2" s="121" t="s">
        <v>57</v>
      </c>
      <c r="B2" s="121"/>
      <c r="C2" s="121"/>
      <c r="D2" s="121"/>
      <c r="E2" s="121"/>
      <c r="F2" s="121"/>
      <c r="G2" s="24"/>
      <c r="H2" s="25"/>
      <c r="I2" s="25"/>
    </row>
    <row r="3" spans="1:11" s="8" customFormat="1" ht="18" customHeight="1" x14ac:dyDescent="0.25">
      <c r="A3" s="12" t="s">
        <v>1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5">
      <c r="A4" s="12" t="s">
        <v>2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5">
      <c r="A5" s="9" t="str">
        <f>'Summary Load Customers '!A6</f>
        <v>Data as of October 31, 2018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5">
      <c r="A6" s="15"/>
      <c r="B6" s="5"/>
      <c r="C6" s="16"/>
      <c r="D6" s="16"/>
      <c r="E6" s="10"/>
      <c r="F6" s="10"/>
    </row>
    <row r="7" spans="1:11" s="8" customFormat="1" ht="18" customHeight="1" x14ac:dyDescent="0.25">
      <c r="A7" s="17"/>
      <c r="B7" s="18"/>
      <c r="C7" s="3" t="s">
        <v>3</v>
      </c>
      <c r="D7" s="11"/>
      <c r="E7" s="11"/>
      <c r="F7" s="19"/>
      <c r="G7" s="7"/>
      <c r="H7" s="7"/>
      <c r="I7" s="7"/>
      <c r="J7" s="7"/>
      <c r="K7" s="7"/>
    </row>
    <row r="8" spans="1:11" ht="26.4" x14ac:dyDescent="0.25">
      <c r="A8" s="20"/>
      <c r="B8" s="4" t="s">
        <v>4</v>
      </c>
      <c r="C8" s="4" t="s">
        <v>5</v>
      </c>
      <c r="D8" s="4" t="s">
        <v>6</v>
      </c>
      <c r="E8" s="4" t="s">
        <v>7</v>
      </c>
      <c r="F8" s="4" t="s">
        <v>25</v>
      </c>
    </row>
    <row r="9" spans="1:11" ht="14.25" customHeight="1" x14ac:dyDescent="0.3">
      <c r="A9" s="105">
        <v>1</v>
      </c>
      <c r="B9" t="s">
        <v>61</v>
      </c>
      <c r="C9" s="112">
        <v>208</v>
      </c>
      <c r="D9" s="113">
        <v>198</v>
      </c>
      <c r="E9" s="114">
        <v>406</v>
      </c>
      <c r="F9" s="21">
        <f t="shared" ref="F9:F49" si="0">IF(E9=0,"",E9/$E$50)</f>
        <v>3.6224125624553889E-3</v>
      </c>
    </row>
    <row r="10" spans="1:11" ht="14.25" customHeight="1" x14ac:dyDescent="0.3">
      <c r="A10" s="105">
        <v>2</v>
      </c>
      <c r="B10" t="s">
        <v>58</v>
      </c>
      <c r="C10" s="115">
        <v>578</v>
      </c>
      <c r="D10" s="116">
        <v>1088</v>
      </c>
      <c r="E10" s="117">
        <v>1666</v>
      </c>
      <c r="F10" s="21">
        <f t="shared" si="0"/>
        <v>1.4864382583868666E-2</v>
      </c>
    </row>
    <row r="11" spans="1:11" ht="14.25" customHeight="1" x14ac:dyDescent="0.3">
      <c r="A11" s="105">
        <v>3</v>
      </c>
      <c r="B11" t="s">
        <v>51</v>
      </c>
      <c r="C11" s="115">
        <v>9813</v>
      </c>
      <c r="D11" s="116">
        <v>800</v>
      </c>
      <c r="E11" s="117">
        <v>10613</v>
      </c>
      <c r="F11" s="21">
        <f t="shared" si="0"/>
        <v>9.4691291934332622E-2</v>
      </c>
    </row>
    <row r="12" spans="1:11" ht="14.25" customHeight="1" x14ac:dyDescent="0.3">
      <c r="A12" s="105">
        <v>4</v>
      </c>
      <c r="B12" t="s">
        <v>55</v>
      </c>
      <c r="C12" s="115"/>
      <c r="D12" s="116">
        <v>2</v>
      </c>
      <c r="E12" s="117">
        <v>2</v>
      </c>
      <c r="F12" s="21">
        <f t="shared" si="0"/>
        <v>1.7844396859386154E-5</v>
      </c>
    </row>
    <row r="13" spans="1:11" ht="14.25" customHeight="1" x14ac:dyDescent="0.3">
      <c r="A13" s="105">
        <v>5</v>
      </c>
      <c r="B13" t="s">
        <v>62</v>
      </c>
      <c r="C13" s="115">
        <v>17</v>
      </c>
      <c r="D13" s="116">
        <v>3041</v>
      </c>
      <c r="E13" s="117">
        <v>3058</v>
      </c>
      <c r="F13" s="21">
        <f t="shared" si="0"/>
        <v>2.7284082798001427E-2</v>
      </c>
    </row>
    <row r="14" spans="1:11" ht="14.25" customHeight="1" x14ac:dyDescent="0.3">
      <c r="A14" s="105">
        <v>6</v>
      </c>
      <c r="B14" t="s">
        <v>63</v>
      </c>
      <c r="C14" s="115">
        <v>16</v>
      </c>
      <c r="D14" s="116">
        <v>169</v>
      </c>
      <c r="E14" s="117">
        <v>185</v>
      </c>
      <c r="F14" s="21">
        <f t="shared" si="0"/>
        <v>1.6506067094932192E-3</v>
      </c>
    </row>
    <row r="15" spans="1:11" ht="14.25" customHeight="1" x14ac:dyDescent="0.3">
      <c r="A15" s="105">
        <v>7</v>
      </c>
      <c r="B15" t="s">
        <v>64</v>
      </c>
      <c r="C15" s="115">
        <v>602</v>
      </c>
      <c r="D15" s="116">
        <v>15</v>
      </c>
      <c r="E15" s="117">
        <v>617</v>
      </c>
      <c r="F15" s="21">
        <f t="shared" si="0"/>
        <v>5.5049964311206278E-3</v>
      </c>
    </row>
    <row r="16" spans="1:11" ht="14.25" customHeight="1" x14ac:dyDescent="0.3">
      <c r="A16" s="105">
        <v>8</v>
      </c>
      <c r="B16" t="s">
        <v>65</v>
      </c>
      <c r="C16" s="115">
        <v>8259</v>
      </c>
      <c r="D16" s="116">
        <v>635</v>
      </c>
      <c r="E16" s="117">
        <v>8894</v>
      </c>
      <c r="F16" s="21">
        <f t="shared" si="0"/>
        <v>7.9354032833690219E-2</v>
      </c>
    </row>
    <row r="17" spans="1:6" ht="14.25" customHeight="1" x14ac:dyDescent="0.3">
      <c r="A17" s="105">
        <v>9</v>
      </c>
      <c r="B17" t="s">
        <v>66</v>
      </c>
      <c r="C17" s="115">
        <v>773</v>
      </c>
      <c r="D17" s="116">
        <v>104</v>
      </c>
      <c r="E17" s="117">
        <v>877</v>
      </c>
      <c r="F17" s="21">
        <f t="shared" si="0"/>
        <v>7.8247680228408275E-3</v>
      </c>
    </row>
    <row r="18" spans="1:6" ht="14.25" customHeight="1" x14ac:dyDescent="0.3">
      <c r="A18" s="105">
        <v>10</v>
      </c>
      <c r="B18" t="s">
        <v>67</v>
      </c>
      <c r="C18" s="115">
        <v>861</v>
      </c>
      <c r="D18" s="116">
        <v>4486</v>
      </c>
      <c r="E18" s="117">
        <v>5347</v>
      </c>
      <c r="F18" s="21">
        <f t="shared" si="0"/>
        <v>4.7706995003568876E-2</v>
      </c>
    </row>
    <row r="19" spans="1:6" ht="14.25" customHeight="1" x14ac:dyDescent="0.3">
      <c r="A19" s="105">
        <v>11</v>
      </c>
      <c r="B19" t="s">
        <v>68</v>
      </c>
      <c r="C19" s="115">
        <v>7543</v>
      </c>
      <c r="D19" s="116">
        <v>667</v>
      </c>
      <c r="E19" s="117">
        <v>8210</v>
      </c>
      <c r="F19" s="21">
        <f t="shared" si="0"/>
        <v>7.325124910778015E-2</v>
      </c>
    </row>
    <row r="20" spans="1:6" ht="14.25" customHeight="1" x14ac:dyDescent="0.3">
      <c r="A20" s="105">
        <v>12</v>
      </c>
      <c r="B20" t="s">
        <v>59</v>
      </c>
      <c r="C20" s="115">
        <v>45</v>
      </c>
      <c r="D20" s="116">
        <v>1219</v>
      </c>
      <c r="E20" s="117">
        <v>1264</v>
      </c>
      <c r="F20" s="21">
        <f t="shared" si="0"/>
        <v>1.1277658815132048E-2</v>
      </c>
    </row>
    <row r="21" spans="1:6" ht="14.25" customHeight="1" x14ac:dyDescent="0.3">
      <c r="A21" s="105">
        <v>13</v>
      </c>
      <c r="B21" t="s">
        <v>69</v>
      </c>
      <c r="C21" s="115">
        <v>7597</v>
      </c>
      <c r="D21" s="116">
        <v>2241</v>
      </c>
      <c r="E21" s="117">
        <v>9838</v>
      </c>
      <c r="F21" s="21">
        <f t="shared" si="0"/>
        <v>8.7776588151320487E-2</v>
      </c>
    </row>
    <row r="22" spans="1:6" ht="14.25" customHeight="1" x14ac:dyDescent="0.3">
      <c r="A22" s="105">
        <v>14</v>
      </c>
      <c r="B22" t="s">
        <v>70</v>
      </c>
      <c r="C22" s="115">
        <v>4400</v>
      </c>
      <c r="D22" s="116">
        <v>290</v>
      </c>
      <c r="E22" s="117">
        <v>4690</v>
      </c>
      <c r="F22" s="21">
        <f t="shared" si="0"/>
        <v>4.184511063526053E-2</v>
      </c>
    </row>
    <row r="23" spans="1:6" ht="14.25" customHeight="1" x14ac:dyDescent="0.3">
      <c r="A23" s="105">
        <v>15</v>
      </c>
      <c r="B23" t="s">
        <v>71</v>
      </c>
      <c r="C23" s="115"/>
      <c r="D23" s="116">
        <v>64</v>
      </c>
      <c r="E23" s="117">
        <v>64</v>
      </c>
      <c r="F23" s="21">
        <f t="shared" si="0"/>
        <v>5.7102069950035693E-4</v>
      </c>
    </row>
    <row r="24" spans="1:6" ht="14.25" customHeight="1" x14ac:dyDescent="0.3">
      <c r="A24" s="105">
        <v>16</v>
      </c>
      <c r="B24" t="s">
        <v>72</v>
      </c>
      <c r="C24" s="115">
        <v>4</v>
      </c>
      <c r="D24" s="116">
        <v>10</v>
      </c>
      <c r="E24" s="117">
        <v>14</v>
      </c>
      <c r="F24" s="21">
        <f t="shared" si="0"/>
        <v>1.2491077801570307E-4</v>
      </c>
    </row>
    <row r="25" spans="1:6" ht="14.25" customHeight="1" x14ac:dyDescent="0.3">
      <c r="A25" s="105">
        <v>17</v>
      </c>
      <c r="B25" t="s">
        <v>73</v>
      </c>
      <c r="C25" s="115">
        <v>505</v>
      </c>
      <c r="D25" s="116">
        <v>113</v>
      </c>
      <c r="E25" s="117">
        <v>618</v>
      </c>
      <c r="F25" s="21">
        <f t="shared" si="0"/>
        <v>5.5139186295503212E-3</v>
      </c>
    </row>
    <row r="26" spans="1:6" ht="14.25" customHeight="1" x14ac:dyDescent="0.3">
      <c r="A26" s="105">
        <v>18</v>
      </c>
      <c r="B26" t="s">
        <v>74</v>
      </c>
      <c r="C26" s="115">
        <v>3</v>
      </c>
      <c r="D26" s="116"/>
      <c r="E26" s="117">
        <v>3</v>
      </c>
      <c r="F26" s="21">
        <f t="shared" si="0"/>
        <v>2.6766595289079228E-5</v>
      </c>
    </row>
    <row r="27" spans="1:6" ht="14.25" customHeight="1" x14ac:dyDescent="0.3">
      <c r="A27" s="105">
        <v>19</v>
      </c>
      <c r="B27" t="s">
        <v>75</v>
      </c>
      <c r="C27" s="115">
        <v>145</v>
      </c>
      <c r="D27" s="116">
        <v>844</v>
      </c>
      <c r="E27" s="117">
        <v>989</v>
      </c>
      <c r="F27" s="21">
        <f t="shared" si="0"/>
        <v>8.8240542469664521E-3</v>
      </c>
    </row>
    <row r="28" spans="1:6" ht="14.25" customHeight="1" x14ac:dyDescent="0.3">
      <c r="A28" s="105">
        <v>20</v>
      </c>
      <c r="B28" t="s">
        <v>76</v>
      </c>
      <c r="C28" s="115">
        <v>261</v>
      </c>
      <c r="D28" s="116">
        <v>93</v>
      </c>
      <c r="E28" s="117">
        <v>354</v>
      </c>
      <c r="F28" s="21">
        <f t="shared" si="0"/>
        <v>3.158458244111349E-3</v>
      </c>
    </row>
    <row r="29" spans="1:6" ht="14.25" customHeight="1" x14ac:dyDescent="0.3">
      <c r="A29" s="105">
        <v>21</v>
      </c>
      <c r="B29" t="s">
        <v>77</v>
      </c>
      <c r="C29" s="115"/>
      <c r="D29" s="116">
        <v>57</v>
      </c>
      <c r="E29" s="117">
        <v>57</v>
      </c>
      <c r="F29" s="21">
        <f t="shared" si="0"/>
        <v>5.085653104925054E-4</v>
      </c>
    </row>
    <row r="30" spans="1:6" ht="14.25" customHeight="1" x14ac:dyDescent="0.3">
      <c r="A30" s="105">
        <v>22</v>
      </c>
      <c r="B30" t="s">
        <v>78</v>
      </c>
      <c r="C30" s="115">
        <v>481</v>
      </c>
      <c r="D30" s="116">
        <v>7</v>
      </c>
      <c r="E30" s="117">
        <v>488</v>
      </c>
      <c r="F30" s="21">
        <f t="shared" si="0"/>
        <v>4.3540328336902209E-3</v>
      </c>
    </row>
    <row r="31" spans="1:6" ht="14.25" customHeight="1" x14ac:dyDescent="0.3">
      <c r="A31" s="105">
        <v>23</v>
      </c>
      <c r="B31" t="s">
        <v>13</v>
      </c>
      <c r="C31" s="115">
        <v>4780</v>
      </c>
      <c r="D31" s="116">
        <v>123</v>
      </c>
      <c r="E31" s="117">
        <v>4903</v>
      </c>
      <c r="F31" s="21">
        <f t="shared" si="0"/>
        <v>4.3745538900785155E-2</v>
      </c>
    </row>
    <row r="32" spans="1:6" ht="14.25" customHeight="1" x14ac:dyDescent="0.3">
      <c r="A32" s="105">
        <v>24</v>
      </c>
      <c r="B32" t="s">
        <v>79</v>
      </c>
      <c r="C32" s="115">
        <v>1728</v>
      </c>
      <c r="D32" s="116">
        <v>28</v>
      </c>
      <c r="E32" s="117">
        <v>1756</v>
      </c>
      <c r="F32" s="21">
        <f t="shared" si="0"/>
        <v>1.5667380442541044E-2</v>
      </c>
    </row>
    <row r="33" spans="1:7" ht="14.25" customHeight="1" x14ac:dyDescent="0.3">
      <c r="A33" s="105">
        <v>25</v>
      </c>
      <c r="B33" t="s">
        <v>80</v>
      </c>
      <c r="C33" s="115">
        <v>228</v>
      </c>
      <c r="D33" s="116">
        <v>94</v>
      </c>
      <c r="E33" s="117">
        <v>322</v>
      </c>
      <c r="F33" s="21">
        <f t="shared" si="0"/>
        <v>2.8729478943611705E-3</v>
      </c>
    </row>
    <row r="34" spans="1:7" ht="14.25" customHeight="1" x14ac:dyDescent="0.3">
      <c r="A34" s="105">
        <v>26</v>
      </c>
      <c r="B34" t="s">
        <v>81</v>
      </c>
      <c r="C34" s="115">
        <v>13</v>
      </c>
      <c r="D34" s="116">
        <v>14</v>
      </c>
      <c r="E34" s="117">
        <v>27</v>
      </c>
      <c r="F34" s="21">
        <f t="shared" si="0"/>
        <v>2.4089935760171306E-4</v>
      </c>
    </row>
    <row r="35" spans="1:7" ht="14.25" customHeight="1" x14ac:dyDescent="0.3">
      <c r="A35" s="105">
        <v>27</v>
      </c>
      <c r="B35" t="s">
        <v>82</v>
      </c>
      <c r="C35" s="115">
        <v>230</v>
      </c>
      <c r="D35" s="116">
        <v>365</v>
      </c>
      <c r="E35" s="117">
        <v>595</v>
      </c>
      <c r="F35" s="21">
        <f t="shared" si="0"/>
        <v>5.30870806566738E-3</v>
      </c>
    </row>
    <row r="36" spans="1:7" ht="14.25" customHeight="1" x14ac:dyDescent="0.3">
      <c r="A36" s="105">
        <v>28</v>
      </c>
      <c r="B36" t="s">
        <v>83</v>
      </c>
      <c r="C36" s="115">
        <v>10073</v>
      </c>
      <c r="D36" s="116">
        <v>256</v>
      </c>
      <c r="E36" s="117">
        <v>10329</v>
      </c>
      <c r="F36" s="21">
        <f t="shared" si="0"/>
        <v>9.2157387580299788E-2</v>
      </c>
    </row>
    <row r="37" spans="1:7" ht="14.25" customHeight="1" x14ac:dyDescent="0.3">
      <c r="A37" s="105">
        <v>29</v>
      </c>
      <c r="B37" t="s">
        <v>84</v>
      </c>
      <c r="C37" s="115">
        <v>1064</v>
      </c>
      <c r="D37" s="116">
        <v>240</v>
      </c>
      <c r="E37" s="117">
        <v>1304</v>
      </c>
      <c r="F37" s="21">
        <f t="shared" si="0"/>
        <v>1.1634546752319772E-2</v>
      </c>
    </row>
    <row r="38" spans="1:7" ht="14.25" customHeight="1" x14ac:dyDescent="0.3">
      <c r="A38" s="105">
        <v>30</v>
      </c>
      <c r="B38" t="s">
        <v>85</v>
      </c>
      <c r="C38" s="115">
        <v>1187</v>
      </c>
      <c r="D38" s="116">
        <v>72</v>
      </c>
      <c r="E38" s="117">
        <v>1259</v>
      </c>
      <c r="F38" s="21">
        <f t="shared" si="0"/>
        <v>1.1233047822983584E-2</v>
      </c>
    </row>
    <row r="39" spans="1:7" ht="14.25" customHeight="1" x14ac:dyDescent="0.3">
      <c r="A39" s="105">
        <v>31</v>
      </c>
      <c r="B39" t="s">
        <v>86</v>
      </c>
      <c r="C39" s="115">
        <v>5432</v>
      </c>
      <c r="D39" s="116">
        <v>792</v>
      </c>
      <c r="E39" s="117">
        <v>6224</v>
      </c>
      <c r="F39" s="21">
        <f t="shared" si="0"/>
        <v>5.5531763026409706E-2</v>
      </c>
    </row>
    <row r="40" spans="1:7" ht="14.25" customHeight="1" x14ac:dyDescent="0.3">
      <c r="A40" s="105">
        <v>32</v>
      </c>
      <c r="B40" t="s">
        <v>87</v>
      </c>
      <c r="C40" s="115">
        <v>2586</v>
      </c>
      <c r="D40" s="116">
        <v>830</v>
      </c>
      <c r="E40" s="117">
        <v>3416</v>
      </c>
      <c r="F40" s="21">
        <f t="shared" si="0"/>
        <v>3.0478229835831549E-2</v>
      </c>
    </row>
    <row r="41" spans="1:7" ht="14.25" customHeight="1" x14ac:dyDescent="0.3">
      <c r="A41" s="105">
        <v>33</v>
      </c>
      <c r="B41" t="s">
        <v>88</v>
      </c>
      <c r="C41" s="115">
        <v>3035</v>
      </c>
      <c r="D41" s="116">
        <v>225</v>
      </c>
      <c r="E41" s="117">
        <v>3260</v>
      </c>
      <c r="F41" s="21">
        <f t="shared" si="0"/>
        <v>2.9086366880799429E-2</v>
      </c>
    </row>
    <row r="42" spans="1:7" ht="14.25" customHeight="1" x14ac:dyDescent="0.3">
      <c r="A42" s="105">
        <v>34</v>
      </c>
      <c r="B42" t="s">
        <v>89</v>
      </c>
      <c r="C42" s="115">
        <v>1932</v>
      </c>
      <c r="D42" s="116">
        <v>225</v>
      </c>
      <c r="E42" s="117">
        <v>2157</v>
      </c>
      <c r="F42" s="21">
        <f t="shared" si="0"/>
        <v>1.9245182012847965E-2</v>
      </c>
    </row>
    <row r="43" spans="1:7" ht="14.25" customHeight="1" x14ac:dyDescent="0.3">
      <c r="A43" s="105">
        <v>35</v>
      </c>
      <c r="B43" t="s">
        <v>90</v>
      </c>
      <c r="C43" s="115"/>
      <c r="D43" s="116">
        <v>13</v>
      </c>
      <c r="E43" s="117">
        <v>13</v>
      </c>
      <c r="F43" s="21">
        <f t="shared" si="0"/>
        <v>1.1598857958600999E-4</v>
      </c>
    </row>
    <row r="44" spans="1:7" ht="14.4" x14ac:dyDescent="0.3">
      <c r="A44" s="105">
        <v>36</v>
      </c>
      <c r="B44" t="s">
        <v>56</v>
      </c>
      <c r="C44" s="115">
        <v>3597</v>
      </c>
      <c r="D44" s="116">
        <v>120</v>
      </c>
      <c r="E44" s="117">
        <v>3717</v>
      </c>
      <c r="F44" s="21">
        <f t="shared" si="0"/>
        <v>3.3163811563169165E-2</v>
      </c>
    </row>
    <row r="45" spans="1:7" ht="14.4" x14ac:dyDescent="0.3">
      <c r="A45" s="105">
        <v>37</v>
      </c>
      <c r="B45" t="s">
        <v>91</v>
      </c>
      <c r="C45" s="115">
        <v>8453</v>
      </c>
      <c r="D45" s="116">
        <v>205</v>
      </c>
      <c r="E45" s="117">
        <v>8658</v>
      </c>
      <c r="F45" s="21">
        <f t="shared" si="0"/>
        <v>7.7248394004282656E-2</v>
      </c>
      <c r="G45" s="109"/>
    </row>
    <row r="46" spans="1:7" ht="14.4" x14ac:dyDescent="0.3">
      <c r="A46" s="105">
        <v>38</v>
      </c>
      <c r="B46" t="s">
        <v>92</v>
      </c>
      <c r="C46" s="115">
        <v>2831</v>
      </c>
      <c r="D46" s="116">
        <v>81</v>
      </c>
      <c r="E46" s="117">
        <v>2912</v>
      </c>
      <c r="F46" s="21">
        <f t="shared" si="0"/>
        <v>2.5981441827266239E-2</v>
      </c>
    </row>
    <row r="47" spans="1:7" ht="14.4" x14ac:dyDescent="0.3">
      <c r="A47" s="105">
        <v>39</v>
      </c>
      <c r="B47" t="s">
        <v>93</v>
      </c>
      <c r="C47" s="115">
        <v>704</v>
      </c>
      <c r="D47" s="116">
        <v>131</v>
      </c>
      <c r="E47" s="117">
        <v>835</v>
      </c>
      <c r="F47" s="21">
        <f t="shared" si="0"/>
        <v>7.4500356887937189E-3</v>
      </c>
    </row>
    <row r="48" spans="1:7" ht="14.4" x14ac:dyDescent="0.3">
      <c r="A48" s="105">
        <v>40</v>
      </c>
      <c r="B48" t="s">
        <v>95</v>
      </c>
      <c r="C48" s="115">
        <v>1</v>
      </c>
      <c r="D48" s="116"/>
      <c r="E48" s="117">
        <v>1</v>
      </c>
      <c r="F48" s="21">
        <f t="shared" si="0"/>
        <v>8.9221984296930771E-6</v>
      </c>
    </row>
    <row r="49" spans="1:10" ht="14.4" x14ac:dyDescent="0.3">
      <c r="A49" s="105">
        <v>41</v>
      </c>
      <c r="B49" t="s">
        <v>94</v>
      </c>
      <c r="C49" s="115">
        <v>1794</v>
      </c>
      <c r="D49" s="116">
        <v>344</v>
      </c>
      <c r="E49" s="117">
        <v>2138</v>
      </c>
      <c r="F49" s="21">
        <f t="shared" si="0"/>
        <v>1.9075660242683798E-2</v>
      </c>
    </row>
    <row r="50" spans="1:10" x14ac:dyDescent="0.25">
      <c r="A50" s="105"/>
      <c r="B50" s="108" t="s">
        <v>60</v>
      </c>
      <c r="C50" s="118">
        <v>91779</v>
      </c>
      <c r="D50" s="119">
        <v>20301</v>
      </c>
      <c r="E50" s="120">
        <v>112080</v>
      </c>
      <c r="F50" s="21">
        <f>SUM(F9:F49)</f>
        <v>1.0000000000000002</v>
      </c>
    </row>
    <row r="51" spans="1:10" x14ac:dyDescent="0.25">
      <c r="A51" s="106"/>
    </row>
    <row r="52" spans="1:10" x14ac:dyDescent="0.25">
      <c r="A52" s="1" t="s">
        <v>23</v>
      </c>
      <c r="B52" s="103"/>
    </row>
    <row r="53" spans="1:10" x14ac:dyDescent="0.25">
      <c r="A53" s="1" t="s">
        <v>22</v>
      </c>
      <c r="J53" s="104"/>
    </row>
    <row r="54" spans="1:10" x14ac:dyDescent="0.25">
      <c r="A54" s="1" t="s">
        <v>18</v>
      </c>
    </row>
  </sheetData>
  <sortState ref="B9:E51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zoomScalePageLayoutView="70" workbookViewId="0">
      <selection activeCell="B20" sqref="B20"/>
    </sheetView>
  </sheetViews>
  <sheetFormatPr defaultColWidth="9.109375" defaultRowHeight="13.2" x14ac:dyDescent="0.25"/>
  <cols>
    <col min="1" max="1" width="18.109375" style="2" customWidth="1"/>
    <col min="2" max="2" width="14.33203125" style="2" customWidth="1"/>
    <col min="3" max="3" width="11.6640625" style="2" customWidth="1"/>
    <col min="4" max="4" width="14.33203125" style="2" customWidth="1"/>
    <col min="5" max="5" width="11.6640625" style="2" customWidth="1"/>
    <col min="6" max="6" width="14.33203125" style="2" customWidth="1"/>
    <col min="7" max="7" width="11.6640625" style="2" customWidth="1"/>
    <col min="8" max="8" width="7.6640625" style="2" customWidth="1"/>
    <col min="9" max="9" width="11.6640625" style="2" customWidth="1"/>
    <col min="10" max="16384" width="9.109375" style="2"/>
  </cols>
  <sheetData>
    <row r="1" spans="1:9" s="8" customFormat="1" ht="18" customHeight="1" x14ac:dyDescent="0.25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5">
      <c r="A2" s="121" t="s">
        <v>57</v>
      </c>
      <c r="B2" s="121"/>
      <c r="C2" s="121"/>
      <c r="D2" s="121"/>
      <c r="E2" s="121"/>
      <c r="F2" s="121"/>
      <c r="G2" s="121"/>
      <c r="H2" s="121"/>
      <c r="I2" s="25"/>
    </row>
    <row r="3" spans="1:9" s="8" customFormat="1" ht="18" customHeight="1" x14ac:dyDescent="0.25">
      <c r="A3" s="22" t="s">
        <v>49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5">
      <c r="A4" s="22" t="s">
        <v>48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5">
      <c r="A5" s="26" t="s">
        <v>2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5">
      <c r="A6" s="9" t="str">
        <f>'Summary Load Customers '!A6</f>
        <v>Data as of October 31, 2018</v>
      </c>
      <c r="B6" s="25"/>
      <c r="C6" s="25"/>
      <c r="D6" s="70"/>
      <c r="E6" s="70"/>
      <c r="F6" s="70"/>
      <c r="G6" s="25"/>
      <c r="H6" s="25"/>
      <c r="I6" s="25"/>
    </row>
    <row r="7" spans="1:9" ht="18" customHeight="1" x14ac:dyDescent="0.25">
      <c r="B7" s="27"/>
      <c r="C7" s="27"/>
      <c r="D7" s="58"/>
      <c r="E7" s="58"/>
      <c r="F7" s="59"/>
      <c r="G7" s="59"/>
      <c r="H7" s="27"/>
    </row>
    <row r="8" spans="1:9" ht="18" customHeight="1" x14ac:dyDescent="0.3">
      <c r="A8" s="60" t="s">
        <v>42</v>
      </c>
      <c r="B8" s="61"/>
      <c r="C8" s="61"/>
      <c r="D8" s="62"/>
      <c r="E8" s="62"/>
      <c r="F8" s="63"/>
      <c r="G8" s="63"/>
      <c r="H8" s="61"/>
      <c r="I8" s="64"/>
    </row>
    <row r="9" spans="1:9" ht="18" customHeight="1" x14ac:dyDescent="0.4">
      <c r="B9" s="27"/>
      <c r="C9" s="27"/>
      <c r="D9" s="58"/>
      <c r="E9" s="58"/>
      <c r="F9" s="65"/>
      <c r="G9" s="65"/>
      <c r="H9" s="27"/>
    </row>
    <row r="10" spans="1:9" ht="18" customHeight="1" x14ac:dyDescent="0.25">
      <c r="A10" s="28" t="s">
        <v>53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 x14ac:dyDescent="0.25">
      <c r="A11" s="39"/>
      <c r="B11" s="31" t="s">
        <v>5</v>
      </c>
      <c r="C11" s="51"/>
      <c r="D11" s="31" t="s">
        <v>26</v>
      </c>
      <c r="E11" s="52"/>
      <c r="F11" s="31" t="s">
        <v>33</v>
      </c>
      <c r="G11" s="33"/>
    </row>
    <row r="12" spans="1:9" ht="18" customHeight="1" x14ac:dyDescent="0.25">
      <c r="A12" s="36"/>
      <c r="B12" s="37" t="s">
        <v>14</v>
      </c>
      <c r="C12" s="38" t="s">
        <v>20</v>
      </c>
      <c r="D12" s="37" t="str">
        <f>B12</f>
        <v>Customers</v>
      </c>
      <c r="E12" s="38" t="s">
        <v>20</v>
      </c>
      <c r="F12" s="37" t="str">
        <f>B12</f>
        <v>Customers</v>
      </c>
      <c r="G12" s="38" t="s">
        <v>19</v>
      </c>
    </row>
    <row r="13" spans="1:9" ht="18" customHeight="1" x14ac:dyDescent="0.25">
      <c r="A13" s="39" t="s">
        <v>44</v>
      </c>
      <c r="B13" s="42">
        <f>REC_programs_detail!B23</f>
        <v>3485</v>
      </c>
      <c r="C13" s="43">
        <f>IF(B13=0,0,B13/'Summary Load Customers '!$B$22)</f>
        <v>1.1620307696411543E-2</v>
      </c>
      <c r="D13" s="42">
        <f>REC_programs_detail!C23</f>
        <v>39</v>
      </c>
      <c r="E13" s="43">
        <f>IF(D13=0,0,D13/('Summary Load Customers '!$D$22+'Summary Load Customers '!$F$22))</f>
        <v>1.0253174540578911E-3</v>
      </c>
      <c r="F13" s="42">
        <f>B13+D13</f>
        <v>3524</v>
      </c>
      <c r="G13" s="43">
        <f>IF(F13=0,0,F13/'Summary Load Customers '!$H$22)</f>
        <v>1.0427794036272389E-2</v>
      </c>
    </row>
    <row r="14" spans="1:9" ht="15.75" customHeight="1" x14ac:dyDescent="0.25">
      <c r="G14" s="49"/>
      <c r="H14" s="27"/>
    </row>
    <row r="15" spans="1:9" ht="15.75" customHeight="1" x14ac:dyDescent="0.25">
      <c r="A15" s="99" t="str">
        <f>"As the above table shows, "&amp;TEXT(F13,"0,000")&amp;" of UI's customers, or "&amp;TEXT(G13,"0.0%")&amp;" are participating in the CTCleanEnergyOptions Program."</f>
        <v>As the above table shows, 3,524 of UI's customers, or 1.0% are participating in the CTCleanEnergyOptions Program.</v>
      </c>
      <c r="G15" s="49"/>
      <c r="H15" s="27"/>
    </row>
    <row r="16" spans="1:9" ht="15.75" customHeight="1" x14ac:dyDescent="0.25">
      <c r="G16" s="49"/>
      <c r="H16" s="27"/>
    </row>
    <row r="17" spans="1:9" ht="18" customHeight="1" x14ac:dyDescent="0.25">
      <c r="A17" s="28" t="s">
        <v>43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 x14ac:dyDescent="0.25">
      <c r="A18" s="39"/>
      <c r="B18" s="31" t="s">
        <v>5</v>
      </c>
      <c r="C18" s="51"/>
      <c r="D18" s="31" t="s">
        <v>26</v>
      </c>
      <c r="E18" s="52"/>
      <c r="F18" s="31" t="s">
        <v>33</v>
      </c>
      <c r="G18" s="33"/>
    </row>
    <row r="19" spans="1:9" ht="18" customHeight="1" x14ac:dyDescent="0.25">
      <c r="A19" s="36"/>
      <c r="B19" s="37" t="s">
        <v>14</v>
      </c>
      <c r="C19" s="38" t="s">
        <v>20</v>
      </c>
      <c r="D19" s="37" t="str">
        <f>B19</f>
        <v>Customers</v>
      </c>
      <c r="E19" s="38" t="s">
        <v>20</v>
      </c>
      <c r="F19" s="37" t="str">
        <f>B19</f>
        <v>Customers</v>
      </c>
      <c r="G19" s="38" t="s">
        <v>19</v>
      </c>
    </row>
    <row r="20" spans="1:9" ht="18" customHeight="1" x14ac:dyDescent="0.25">
      <c r="A20" s="39" t="s">
        <v>45</v>
      </c>
      <c r="B20" s="42">
        <f>REC_programs_detail!B29</f>
        <v>645</v>
      </c>
      <c r="C20" s="43">
        <f>IF(B20=0,0,B20/'Summary Load Customers '!$B$22)</f>
        <v>2.1506738778150486E-3</v>
      </c>
      <c r="D20" s="42">
        <f>REC_programs_detail!C29</f>
        <v>59</v>
      </c>
      <c r="E20" s="43">
        <f>IF(D20=0,0,D20/('Summary Load Customers '!$D$22+'Summary Load Customers '!$F$22))</f>
        <v>1.5511212766516813E-3</v>
      </c>
      <c r="F20" s="42">
        <f>B20+D20</f>
        <v>704</v>
      </c>
      <c r="G20" s="43">
        <f>IF(F20=0,0,F20/'Summary Load Customers '!$H$22)</f>
        <v>2.0831915441361414E-3</v>
      </c>
    </row>
    <row r="21" spans="1:9" ht="18" customHeight="1" x14ac:dyDescent="0.25">
      <c r="B21" s="48"/>
      <c r="C21" s="47"/>
      <c r="D21" s="48"/>
      <c r="E21" s="47"/>
      <c r="F21" s="48"/>
      <c r="G21" s="47"/>
      <c r="H21" s="48"/>
      <c r="I21" s="47"/>
    </row>
    <row r="22" spans="1:9" ht="18" customHeight="1" x14ac:dyDescent="0.25">
      <c r="A22" s="99" t="str">
        <f>"As the above table shows, "&amp;TEXT(F20,"0,000")&amp;" of UI's customers, or "&amp;TEXT(G20,"0.0%")&amp;" are participating in the REC only program."</f>
        <v>As the above table shows, 0,704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3.8" x14ac:dyDescent="0.25">
      <c r="A23" s="45"/>
    </row>
    <row r="24" spans="1:9" ht="13.8" x14ac:dyDescent="0.25">
      <c r="A24" s="28" t="s">
        <v>47</v>
      </c>
      <c r="B24" s="29"/>
      <c r="C24" s="29"/>
      <c r="D24" s="29"/>
      <c r="E24" s="29"/>
      <c r="F24" s="29"/>
      <c r="G24" s="50"/>
      <c r="H24" s="24"/>
      <c r="I24" s="25"/>
    </row>
    <row r="25" spans="1:9" ht="13.8" x14ac:dyDescent="0.25">
      <c r="A25" s="39"/>
      <c r="B25" s="31" t="s">
        <v>5</v>
      </c>
      <c r="C25" s="51"/>
      <c r="D25" s="31" t="s">
        <v>26</v>
      </c>
      <c r="E25" s="52"/>
      <c r="F25" s="31" t="s">
        <v>33</v>
      </c>
      <c r="G25" s="33"/>
    </row>
    <row r="26" spans="1:9" ht="13.8" x14ac:dyDescent="0.25">
      <c r="A26" s="36"/>
      <c r="B26" s="37" t="s">
        <v>14</v>
      </c>
      <c r="C26" s="38" t="s">
        <v>20</v>
      </c>
      <c r="D26" s="37" t="str">
        <f>B26</f>
        <v>Customers</v>
      </c>
      <c r="E26" s="38" t="s">
        <v>20</v>
      </c>
      <c r="F26" s="37" t="str">
        <f>B26</f>
        <v>Customers</v>
      </c>
      <c r="G26" s="38" t="s">
        <v>19</v>
      </c>
    </row>
    <row r="27" spans="1:9" ht="13.8" x14ac:dyDescent="0.25">
      <c r="A27" s="39" t="s">
        <v>46</v>
      </c>
      <c r="B27" s="42">
        <f>B13+B20</f>
        <v>4130</v>
      </c>
      <c r="C27" s="43">
        <f>IF(B27=0,0,B27/'Summary Load Customers '!$B$22)</f>
        <v>1.3770981574226591E-2</v>
      </c>
      <c r="D27" s="42">
        <f>D13+D20</f>
        <v>98</v>
      </c>
      <c r="E27" s="43">
        <f>IF(D27=0,0,D27/('Summary Load Customers '!$D$22+'Summary Load Customers '!$F$22))</f>
        <v>2.5764387307095722E-3</v>
      </c>
      <c r="F27" s="42">
        <f>B27+D27</f>
        <v>4228</v>
      </c>
      <c r="G27" s="43">
        <f>IF(F27=0,0,F27/'Summary Load Customers '!$H$22)</f>
        <v>1.2510985580408531E-2</v>
      </c>
    </row>
    <row r="28" spans="1:9" ht="13.8" x14ac:dyDescent="0.25">
      <c r="G28" s="49"/>
      <c r="H28" s="27"/>
    </row>
    <row r="29" spans="1:9" ht="13.8" x14ac:dyDescent="0.25">
      <c r="A29" s="99" t="str">
        <f>"As the above table shows, "&amp;TEXT(F27,"0,000")&amp;" of UI's customers, or "&amp;TEXT(G27,"0.0%")&amp;" are participating in the combined REC programs."</f>
        <v>As the above table shows, 4,228 of UI's customers, or 1.3% are participating in the combined REC programs.</v>
      </c>
      <c r="G29" s="49"/>
      <c r="H29" s="27"/>
    </row>
    <row r="31" spans="1:9" ht="13.8" x14ac:dyDescent="0.25">
      <c r="A31" s="66" t="s">
        <v>32</v>
      </c>
    </row>
    <row r="32" spans="1:9" ht="13.8" x14ac:dyDescent="0.25">
      <c r="A32" s="66"/>
    </row>
    <row r="33" spans="1:1" ht="13.8" x14ac:dyDescent="0.25">
      <c r="A33" s="66" t="s">
        <v>54</v>
      </c>
    </row>
    <row r="34" spans="1:1" x14ac:dyDescent="0.25">
      <c r="A34" s="67" t="s">
        <v>52</v>
      </c>
    </row>
    <row r="36" spans="1:1" x14ac:dyDescent="0.25">
      <c r="A36" s="67" t="s">
        <v>18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abSelected="1" topLeftCell="A4" zoomScale="110" zoomScaleNormal="110" workbookViewId="0">
      <selection activeCell="C15" sqref="C15"/>
    </sheetView>
  </sheetViews>
  <sheetFormatPr defaultColWidth="9.109375" defaultRowHeight="10.199999999999999" x14ac:dyDescent="0.2"/>
  <cols>
    <col min="1" max="1" width="28" style="74" customWidth="1"/>
    <col min="2" max="3" width="19.109375" style="74" customWidth="1"/>
    <col min="4" max="4" width="20.33203125" style="74" customWidth="1"/>
    <col min="5" max="5" width="7.109375" style="74" customWidth="1"/>
    <col min="6" max="6" width="23.33203125" style="74" bestFit="1" customWidth="1"/>
    <col min="7" max="7" width="10.44140625" style="74" customWidth="1"/>
    <col min="8" max="16384" width="9.109375" style="74"/>
  </cols>
  <sheetData>
    <row r="1" spans="1:9" s="73" customFormat="1" ht="15" customHeight="1" x14ac:dyDescent="0.25">
      <c r="A1" s="122" t="str">
        <f>'Summary Load Customers '!A1</f>
        <v>The United Illuminating Company</v>
      </c>
      <c r="B1" s="122"/>
      <c r="C1" s="122"/>
      <c r="D1" s="122"/>
      <c r="E1" s="71"/>
      <c r="F1" s="71"/>
      <c r="G1" s="72"/>
    </row>
    <row r="2" spans="1:9" s="8" customFormat="1" ht="18" customHeight="1" x14ac:dyDescent="0.25">
      <c r="A2" s="123" t="s">
        <v>57</v>
      </c>
      <c r="B2" s="123"/>
      <c r="C2" s="123"/>
      <c r="D2" s="123"/>
      <c r="E2" s="23"/>
      <c r="F2" s="23"/>
      <c r="G2" s="24"/>
      <c r="H2" s="25"/>
      <c r="I2" s="25"/>
    </row>
    <row r="3" spans="1:9" s="73" customFormat="1" ht="15" customHeight="1" x14ac:dyDescent="0.25">
      <c r="A3" s="122" t="s">
        <v>35</v>
      </c>
      <c r="B3" s="122"/>
      <c r="C3" s="122"/>
      <c r="D3" s="122"/>
      <c r="E3" s="71"/>
      <c r="F3" s="71"/>
      <c r="G3" s="72"/>
    </row>
    <row r="4" spans="1:9" s="73" customFormat="1" ht="15" customHeight="1" x14ac:dyDescent="0.25">
      <c r="A4" s="122" t="s">
        <v>2</v>
      </c>
      <c r="B4" s="122"/>
      <c r="C4" s="122"/>
      <c r="D4" s="122"/>
      <c r="E4" s="71"/>
      <c r="F4" s="71"/>
      <c r="G4" s="72"/>
    </row>
    <row r="5" spans="1:9" s="73" customFormat="1" ht="15" customHeight="1" x14ac:dyDescent="0.25">
      <c r="A5" s="122" t="str">
        <f>'Summary Load Customers '!A6</f>
        <v>Data as of October 31, 2018</v>
      </c>
      <c r="B5" s="122"/>
      <c r="C5" s="122"/>
      <c r="D5" s="122"/>
      <c r="E5" s="71"/>
      <c r="F5" s="71"/>
      <c r="G5" s="72"/>
    </row>
    <row r="6" spans="1:9" x14ac:dyDescent="0.2">
      <c r="C6" s="75"/>
      <c r="D6" s="75"/>
      <c r="E6" s="75"/>
      <c r="F6" s="75"/>
      <c r="G6" s="75"/>
    </row>
    <row r="7" spans="1:9" s="81" customFormat="1" ht="20.399999999999999" x14ac:dyDescent="0.2">
      <c r="A7" s="76" t="s">
        <v>37</v>
      </c>
      <c r="B7" s="77" t="s">
        <v>5</v>
      </c>
      <c r="C7" s="76" t="s">
        <v>6</v>
      </c>
      <c r="D7" s="76" t="s">
        <v>33</v>
      </c>
      <c r="E7" s="78"/>
      <c r="F7" s="78"/>
      <c r="G7" s="79"/>
      <c r="H7" s="80"/>
    </row>
    <row r="8" spans="1:9" x14ac:dyDescent="0.2">
      <c r="A8" s="82" t="s">
        <v>36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 x14ac:dyDescent="0.2">
      <c r="A9" s="82" t="s">
        <v>15</v>
      </c>
      <c r="B9" s="84">
        <v>132</v>
      </c>
      <c r="C9" s="84">
        <v>2</v>
      </c>
      <c r="D9" s="85">
        <f>SUM(B9:C9)</f>
        <v>134</v>
      </c>
      <c r="E9" s="87"/>
      <c r="F9" s="87"/>
      <c r="G9" s="86"/>
      <c r="H9" s="75"/>
    </row>
    <row r="10" spans="1:9" x14ac:dyDescent="0.2">
      <c r="A10" s="82" t="s">
        <v>16</v>
      </c>
      <c r="B10" s="84">
        <v>2860</v>
      </c>
      <c r="C10" s="84">
        <v>36</v>
      </c>
      <c r="D10" s="85">
        <f>SUM(B10:C10)</f>
        <v>2896</v>
      </c>
      <c r="E10" s="88"/>
      <c r="F10" s="89"/>
      <c r="G10" s="86"/>
      <c r="H10" s="75"/>
    </row>
    <row r="11" spans="1:9" x14ac:dyDescent="0.2">
      <c r="A11" s="90" t="s">
        <v>7</v>
      </c>
      <c r="B11" s="91">
        <f>IF(B9+B10=0,0,B9+B10)</f>
        <v>2992</v>
      </c>
      <c r="C11" s="91">
        <f>IF(SUM(C8:C10)=0,0,SUM(C8:C10))</f>
        <v>38</v>
      </c>
      <c r="D11" s="91">
        <f>IF(SUM(D8:D10)=0,0,SUM(D8:D10))</f>
        <v>3030</v>
      </c>
      <c r="E11" s="88"/>
      <c r="F11" s="89"/>
      <c r="G11" s="86"/>
      <c r="H11" s="75"/>
    </row>
    <row r="12" spans="1:9" x14ac:dyDescent="0.2">
      <c r="A12" s="75"/>
      <c r="B12" s="92"/>
      <c r="C12" s="92"/>
      <c r="D12" s="92"/>
      <c r="E12" s="88"/>
      <c r="F12" s="89"/>
      <c r="G12" s="93"/>
      <c r="H12" s="75"/>
    </row>
    <row r="13" spans="1:9" ht="20.399999999999999" x14ac:dyDescent="0.2">
      <c r="A13" s="76" t="s">
        <v>40</v>
      </c>
      <c r="B13" s="76" t="s">
        <v>5</v>
      </c>
      <c r="C13" s="76" t="str">
        <f>C7</f>
        <v>Business</v>
      </c>
      <c r="D13" s="76" t="s">
        <v>33</v>
      </c>
      <c r="E13" s="94"/>
      <c r="F13" s="95"/>
      <c r="G13" s="93"/>
      <c r="H13" s="75"/>
    </row>
    <row r="14" spans="1:9" x14ac:dyDescent="0.2">
      <c r="A14" s="82" t="s">
        <v>36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 x14ac:dyDescent="0.2">
      <c r="A15" s="82" t="s">
        <v>15</v>
      </c>
      <c r="B15" s="84">
        <v>3</v>
      </c>
      <c r="C15" s="84">
        <v>0</v>
      </c>
      <c r="D15" s="85">
        <f>SUM(B15:C15)</f>
        <v>3</v>
      </c>
      <c r="E15" s="87"/>
      <c r="F15" s="87"/>
      <c r="G15" s="86"/>
      <c r="H15" s="75"/>
    </row>
    <row r="16" spans="1:9" x14ac:dyDescent="0.2">
      <c r="A16" s="82" t="s">
        <v>16</v>
      </c>
      <c r="B16" s="84">
        <v>490</v>
      </c>
      <c r="C16" s="84">
        <v>1</v>
      </c>
      <c r="D16" s="85">
        <f>SUM(B16:C16)</f>
        <v>491</v>
      </c>
      <c r="E16" s="88"/>
      <c r="F16" s="89"/>
      <c r="G16" s="86"/>
      <c r="H16" s="75"/>
    </row>
    <row r="17" spans="1:8" x14ac:dyDescent="0.2">
      <c r="A17" s="90" t="str">
        <f>A11</f>
        <v>Total</v>
      </c>
      <c r="B17" s="91">
        <f>IF(B15+B16=0,0,B15+B16)</f>
        <v>493</v>
      </c>
      <c r="C17" s="91">
        <f>IF(SUM(C14:C16)=0,0,SUM(C14:C16))</f>
        <v>1</v>
      </c>
      <c r="D17" s="91">
        <f>IF(SUM(D14:D16)=0,0,SUM(D14:D16))</f>
        <v>494</v>
      </c>
      <c r="E17" s="88"/>
      <c r="F17" s="89"/>
      <c r="G17" s="86"/>
      <c r="H17" s="75"/>
    </row>
    <row r="18" spans="1:8" x14ac:dyDescent="0.2">
      <c r="A18" s="75"/>
      <c r="B18" s="75"/>
      <c r="C18" s="75"/>
      <c r="D18" s="75"/>
      <c r="E18" s="88"/>
      <c r="F18" s="89"/>
      <c r="G18" s="93"/>
      <c r="H18" s="75"/>
    </row>
    <row r="19" spans="1:8" ht="20.399999999999999" x14ac:dyDescent="0.2">
      <c r="A19" s="76" t="s">
        <v>41</v>
      </c>
      <c r="B19" s="76" t="s">
        <v>5</v>
      </c>
      <c r="C19" s="76" t="str">
        <f>C7</f>
        <v>Business</v>
      </c>
      <c r="D19" s="76" t="s">
        <v>33</v>
      </c>
      <c r="E19" s="94"/>
      <c r="F19" s="95"/>
      <c r="G19" s="93"/>
      <c r="H19" s="75"/>
    </row>
    <row r="20" spans="1:8" x14ac:dyDescent="0.2">
      <c r="A20" s="82" t="s">
        <v>36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 x14ac:dyDescent="0.2">
      <c r="A21" s="82" t="s">
        <v>15</v>
      </c>
      <c r="B21" s="96">
        <f>IF(B9+B15=0,0,B9+B15)</f>
        <v>135</v>
      </c>
      <c r="C21" s="96">
        <f>IF(C9+C15=0,0,C9+C15)</f>
        <v>2</v>
      </c>
      <c r="D21" s="85">
        <f t="shared" si="0"/>
        <v>137</v>
      </c>
      <c r="E21" s="86"/>
      <c r="F21" s="93"/>
      <c r="G21" s="93"/>
      <c r="H21" s="75"/>
    </row>
    <row r="22" spans="1:8" x14ac:dyDescent="0.2">
      <c r="A22" s="82" t="s">
        <v>16</v>
      </c>
      <c r="B22" s="96">
        <f>IF(B10+B16=0,0,B10+B16)</f>
        <v>3350</v>
      </c>
      <c r="C22" s="96">
        <f>IF(C10+C16=0,0,C10+C16)</f>
        <v>37</v>
      </c>
      <c r="D22" s="85">
        <f>IF(D10+D16=0,0,D10+D16)</f>
        <v>3387</v>
      </c>
      <c r="E22" s="75"/>
      <c r="F22" s="93"/>
      <c r="G22" s="93"/>
      <c r="H22" s="75"/>
    </row>
    <row r="23" spans="1:8" x14ac:dyDescent="0.2">
      <c r="A23" s="90" t="str">
        <f>A11</f>
        <v>Total</v>
      </c>
      <c r="B23" s="91">
        <f>IF(B21+B22=0,0,B21+B22)</f>
        <v>3485</v>
      </c>
      <c r="C23" s="91">
        <f>IF(SUM(C20:C22)=0,0,SUM(C20:C22))</f>
        <v>39</v>
      </c>
      <c r="D23" s="91">
        <f>SUM(D20:D22)</f>
        <v>3524</v>
      </c>
      <c r="E23" s="75"/>
      <c r="F23" s="93"/>
      <c r="G23" s="93"/>
      <c r="H23" s="75"/>
    </row>
    <row r="24" spans="1:8" x14ac:dyDescent="0.2">
      <c r="B24" s="75"/>
      <c r="C24" s="75"/>
      <c r="E24" s="75"/>
      <c r="F24" s="93"/>
      <c r="G24" s="93"/>
      <c r="H24" s="75"/>
    </row>
    <row r="25" spans="1:8" ht="20.399999999999999" x14ac:dyDescent="0.2">
      <c r="A25" s="76" t="s">
        <v>38</v>
      </c>
      <c r="B25" s="76" t="s">
        <v>5</v>
      </c>
      <c r="C25" s="76" t="s">
        <v>6</v>
      </c>
      <c r="D25" s="76" t="s">
        <v>33</v>
      </c>
    </row>
    <row r="26" spans="1:8" x14ac:dyDescent="0.2">
      <c r="A26" s="82" t="s">
        <v>36</v>
      </c>
      <c r="B26" s="83"/>
      <c r="C26" s="96">
        <f>IF(C14+C20=0,0,C14+C20)</f>
        <v>0</v>
      </c>
      <c r="D26" s="85">
        <f>IF(C26=0,0,C26)</f>
        <v>0</v>
      </c>
    </row>
    <row r="27" spans="1:8" x14ac:dyDescent="0.2">
      <c r="A27" s="82" t="s">
        <v>15</v>
      </c>
      <c r="B27" s="84">
        <v>187</v>
      </c>
      <c r="C27" s="84">
        <v>11</v>
      </c>
      <c r="D27" s="85">
        <f>SUM(B27:C27)</f>
        <v>198</v>
      </c>
    </row>
    <row r="28" spans="1:8" x14ac:dyDescent="0.2">
      <c r="A28" s="82" t="s">
        <v>16</v>
      </c>
      <c r="B28" s="84">
        <v>458</v>
      </c>
      <c r="C28" s="84">
        <v>48</v>
      </c>
      <c r="D28" s="85">
        <f>SUM(B28:C28)</f>
        <v>506</v>
      </c>
    </row>
    <row r="29" spans="1:8" x14ac:dyDescent="0.2">
      <c r="A29" s="90" t="str">
        <f>A23</f>
        <v>Total</v>
      </c>
      <c r="B29" s="110">
        <f>IF(B27+B28=0,0,B27+B28)</f>
        <v>645</v>
      </c>
      <c r="C29" s="91">
        <f>IF(SUM(C26:C28)=0,0,SUM(C26:C28))</f>
        <v>59</v>
      </c>
      <c r="D29" s="91">
        <f>IF(SUM(D26:D28)=0,0,SUM(D26:D28))</f>
        <v>704</v>
      </c>
    </row>
    <row r="31" spans="1:8" x14ac:dyDescent="0.2">
      <c r="A31" s="76" t="s">
        <v>39</v>
      </c>
      <c r="B31" s="76" t="s">
        <v>5</v>
      </c>
      <c r="C31" s="76" t="str">
        <f>C19</f>
        <v>Business</v>
      </c>
      <c r="D31" s="76" t="s">
        <v>33</v>
      </c>
    </row>
    <row r="32" spans="1:8" x14ac:dyDescent="0.2">
      <c r="A32" s="82" t="s">
        <v>36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 x14ac:dyDescent="0.2">
      <c r="A33" s="82" t="s">
        <v>15</v>
      </c>
      <c r="B33" s="96">
        <f>B21+B27</f>
        <v>322</v>
      </c>
      <c r="C33" s="96">
        <f t="shared" si="1"/>
        <v>13</v>
      </c>
      <c r="D33" s="85">
        <f t="shared" si="1"/>
        <v>335</v>
      </c>
      <c r="E33" s="75"/>
      <c r="F33" s="75"/>
      <c r="G33" s="75"/>
    </row>
    <row r="34" spans="1:7" x14ac:dyDescent="0.2">
      <c r="A34" s="82" t="s">
        <v>16</v>
      </c>
      <c r="B34" s="96">
        <f>B22+B28</f>
        <v>3808</v>
      </c>
      <c r="C34" s="96">
        <f t="shared" si="1"/>
        <v>85</v>
      </c>
      <c r="D34" s="85">
        <f t="shared" si="1"/>
        <v>3893</v>
      </c>
    </row>
    <row r="35" spans="1:7" x14ac:dyDescent="0.2">
      <c r="A35" s="90" t="str">
        <f>A29</f>
        <v>Total</v>
      </c>
      <c r="B35" s="91">
        <f>IF(B33+B34=0,0,B33+B34)</f>
        <v>4130</v>
      </c>
      <c r="C35" s="91">
        <f>IF(SUM(C32:C34)=0,0,SUM(C32:C34))</f>
        <v>98</v>
      </c>
      <c r="D35" s="91">
        <f>SUM(D32:D34)</f>
        <v>4228</v>
      </c>
    </row>
    <row r="37" spans="1:7" x14ac:dyDescent="0.2">
      <c r="A37" s="97" t="str">
        <f>"In summary, "&amp;TEXT($D$23,"0,000")&amp; " of UI's customers are participating in the CTCleanEnergyOptions Program"</f>
        <v>In summary, 3,524 of UI's customers are participating in the CTCleanEnergyOptions Program</v>
      </c>
    </row>
    <row r="38" spans="1:7" x14ac:dyDescent="0.2">
      <c r="A38" s="97" t="str">
        <f>"In summary, "&amp;TEXT($D$29,"000")&amp; " of UI's customers are participating in RECs only with Sterling Planet"</f>
        <v>In summary, 704 of UI's customers are participating in RECs only with Sterling Planet</v>
      </c>
    </row>
    <row r="39" spans="1:7" x14ac:dyDescent="0.2">
      <c r="A39" s="97" t="str">
        <f>"In summary, "&amp;TEXT($D$35,"0,000")&amp; " of UI's customers are participating in all REC programs"</f>
        <v>In summary, 4,228 of UI's customers are participating in all REC programs</v>
      </c>
    </row>
    <row r="41" spans="1:7" x14ac:dyDescent="0.2">
      <c r="A41" s="98" t="s">
        <v>21</v>
      </c>
    </row>
    <row r="42" spans="1:7" x14ac:dyDescent="0.2">
      <c r="A42" s="75" t="s">
        <v>17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Arthur Forman</cp:lastModifiedBy>
  <cp:lastPrinted>2018-11-13T16:22:37Z</cp:lastPrinted>
  <dcterms:created xsi:type="dcterms:W3CDTF">2009-03-17T13:14:28Z</dcterms:created>
  <dcterms:modified xsi:type="dcterms:W3CDTF">2018-11-13T16:22:40Z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2018-01-19 UI ATSO Switches to Alternate Suppliers Attachment 1 06-10-22.xlsx</vt:lpwstr>
  </property>
  <property fmtid="{D5CDD505-2E9C-101B-9397-08002B2CF9AE}" pid="3" name="_AdHocReviewCycleID">
    <vt:i4>1265872063</vt:i4>
  </property>
  <property fmtid="{D5CDD505-2E9C-101B-9397-08002B2CF9AE}" pid="4" name="_NewReviewCycle">
    <vt:lpwstr/>
  </property>
  <property fmtid="{D5CDD505-2E9C-101B-9397-08002B2CF9AE}" pid="5" name="_EmailSubject">
    <vt:lpwstr>Please updat the following on the website</vt:lpwstr>
  </property>
  <property fmtid="{D5CDD505-2E9C-101B-9397-08002B2CF9AE}" pid="6" name="_AuthorEmail">
    <vt:lpwstr>Cheryl.DeFrancesco@uinet.com</vt:lpwstr>
  </property>
  <property fmtid="{D5CDD505-2E9C-101B-9397-08002B2CF9AE}" pid="7" name="_AuthorEmailDisplayName">
    <vt:lpwstr>Cheryl DeFrancesco</vt:lpwstr>
  </property>
  <property fmtid="{D5CDD505-2E9C-101B-9397-08002B2CF9AE}" pid="9" name="_PreviousAdHocReviewCycleID">
    <vt:i4>-1756009558</vt:i4>
  </property>
</Properties>
</file>