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B21" i="7" l="1"/>
  <c r="B20" i="7"/>
  <c r="F12" i="7"/>
  <c r="F11" i="7"/>
  <c r="D12" i="7"/>
  <c r="D11" i="7"/>
  <c r="B12" i="7"/>
  <c r="B11" i="7"/>
  <c r="D20" i="7" l="1"/>
  <c r="F21" i="7" l="1"/>
  <c r="F20" i="7"/>
  <c r="D2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<sst xmlns="http://schemas.openxmlformats.org/spreadsheetml/2006/main" count="162" uniqueCount="96">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</sst>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21" fillId="0" borderId="0" xfId="0" applyFont="1" applyFill="1" applyBorder="1"/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/201812_December_2018_customer_count_calcu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12_December_total_load_by_seg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90085</v>
          </cell>
        </row>
        <row r="19">
          <cell r="B19">
            <v>19873</v>
          </cell>
        </row>
        <row r="20">
          <cell r="B20">
            <v>220</v>
          </cell>
        </row>
        <row r="22">
          <cell r="B22">
            <v>210532</v>
          </cell>
        </row>
        <row r="23">
          <cell r="B23">
            <v>17907</v>
          </cell>
        </row>
        <row r="24">
          <cell r="B24">
            <v>25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61082.752000000008</v>
          </cell>
        </row>
        <row r="25">
          <cell r="H25">
            <v>116530.31300000008</v>
          </cell>
        </row>
        <row r="26">
          <cell r="H26">
            <v>79123.540999999997</v>
          </cell>
        </row>
        <row r="29">
          <cell r="H29">
            <v>126264.01699999999</v>
          </cell>
        </row>
        <row r="30">
          <cell r="H30">
            <v>48305.79099999999</v>
          </cell>
        </row>
        <row r="31">
          <cell r="H31">
            <v>3865.0529999999999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D11" sqref="D11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56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95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[2]Check!$H$24</f>
        <v>61082.752000000008</v>
      </c>
      <c r="C11" s="40">
        <f>IF(B11=0,0,B11/$B$13)</f>
        <v>0.32604112857692252</v>
      </c>
      <c r="D11" s="68">
        <f>[2]Check!$H$25</f>
        <v>116530.31300000008</v>
      </c>
      <c r="E11" s="40">
        <f>IF(D11=0,0,D11/$D$13)</f>
        <v>0.70694653763474069</v>
      </c>
      <c r="F11" s="68">
        <f>[2]Check!$H$26</f>
        <v>79123.540999999997</v>
      </c>
      <c r="G11" s="40">
        <f>IF(F11=0,0,F11/$F$13)</f>
        <v>0.95342669620357712</v>
      </c>
      <c r="H11" s="41">
        <f>IF(B11+D11+F11=0,0,B11+D11+F11)</f>
        <v>256736.60600000009</v>
      </c>
      <c r="I11" s="40">
        <f>IF(H11=0,0,H11/$H$13)</f>
        <v>0.5899665430040707</v>
      </c>
    </row>
    <row r="12" spans="1:15" ht="18" customHeight="1">
      <c r="A12" s="39" t="s">
        <v>12</v>
      </c>
      <c r="B12" s="69">
        <f>[2]Check!$H$29</f>
        <v>126264.01699999999</v>
      </c>
      <c r="C12" s="40">
        <f>IF(B12=0,0,B12/$B$13)</f>
        <v>0.67395887142307742</v>
      </c>
      <c r="D12" s="69">
        <f>[2]Check!$H$30</f>
        <v>48305.79099999999</v>
      </c>
      <c r="E12" s="40">
        <f>IF(D12=0,0,D12/$D$13)</f>
        <v>0.29305346236525931</v>
      </c>
      <c r="F12" s="69">
        <f>[2]Check!$H$31</f>
        <v>3865.0529999999999</v>
      </c>
      <c r="G12" s="40">
        <f>IF(F12=0,0,F12/$F$13)</f>
        <v>4.6573303796422917E-2</v>
      </c>
      <c r="H12" s="102">
        <f>IF(B12+D12+F12=0,0,B12+D12+F12)</f>
        <v>178434.86099999998</v>
      </c>
      <c r="I12" s="40">
        <f>IF(H12=0,0,H12/$H$13)</f>
        <v>0.41003345699592925</v>
      </c>
    </row>
    <row r="13" spans="1:15" ht="18" customHeight="1">
      <c r="A13" s="107" t="s">
        <v>7</v>
      </c>
      <c r="B13" s="42">
        <f>SUM(B11:B12)</f>
        <v>187346.769</v>
      </c>
      <c r="C13" s="43"/>
      <c r="D13" s="42">
        <f>SUM(D11:D12)</f>
        <v>164836.10400000008</v>
      </c>
      <c r="E13" s="43"/>
      <c r="F13" s="42">
        <f>SUM(F11:F12)</f>
        <v>82988.593999999997</v>
      </c>
      <c r="G13" s="43"/>
      <c r="H13" s="42">
        <f>IF(H11+H12=0,0,H11+H12)</f>
        <v>435171.46700000006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256,737 MWh, or 59.0%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178,435 MHh, or 41.0%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[1]Summary!$B$18</f>
        <v>90085</v>
      </c>
      <c r="C20" s="40">
        <f>IF(B20=0,0,B20/$B$22)</f>
        <v>0.29966701816597197</v>
      </c>
      <c r="D20" s="68">
        <f>[1]Summary!$B$19</f>
        <v>19873</v>
      </c>
      <c r="E20" s="53">
        <f>IF(D20=0,0,D20/$D$22)</f>
        <v>0.52601905770248814</v>
      </c>
      <c r="F20" s="68">
        <f>[1]Summary!$B$20</f>
        <v>220</v>
      </c>
      <c r="G20" s="40">
        <f>IF(F20=0,0,F20/$F$22)</f>
        <v>0.89795918367346939</v>
      </c>
      <c r="H20" s="41">
        <f>IF(B20+D20+F20=0,0,B20+D20+F20)</f>
        <v>110178</v>
      </c>
      <c r="I20" s="40">
        <f>IF(H20=0,0,H20/$H$22)</f>
        <v>0.32535243708695316</v>
      </c>
      <c r="J20" s="54"/>
      <c r="K20" s="54"/>
      <c r="M20" s="101"/>
    </row>
    <row r="21" spans="1:17" ht="18" customHeight="1">
      <c r="A21" s="39" t="str">
        <f>A12</f>
        <v>UI</v>
      </c>
      <c r="B21" s="69">
        <f>[1]Summary!$B$22</f>
        <v>210532</v>
      </c>
      <c r="C21" s="40">
        <f>IF(B21=0,0,B21/$B$22)</f>
        <v>0.70033298183402803</v>
      </c>
      <c r="D21" s="69">
        <f>[1]Summary!$B$23</f>
        <v>17907</v>
      </c>
      <c r="E21" s="53">
        <f>IF(D21=0,0,D21/$D$22)</f>
        <v>0.47398094229751192</v>
      </c>
      <c r="F21" s="69">
        <f>[1]Summary!$B$24</f>
        <v>25</v>
      </c>
      <c r="G21" s="40">
        <f>IF(F21=0,0,F21/$F$22)</f>
        <v>0.10204081632653061</v>
      </c>
      <c r="H21" s="69">
        <f>IF(B21+D21+F21=0,0,B21+D21+F21)</f>
        <v>228464</v>
      </c>
      <c r="I21" s="40">
        <f>IF(H21=0,0,H21/$H$22)</f>
        <v>0.67464756291304684</v>
      </c>
    </row>
    <row r="22" spans="1:17" ht="18" customHeight="1">
      <c r="A22" s="39" t="str">
        <f>A13</f>
        <v>Total</v>
      </c>
      <c r="B22" s="42">
        <f>SUM(B20:B21)</f>
        <v>300617</v>
      </c>
      <c r="C22" s="55"/>
      <c r="D22" s="42">
        <f>SUM(D20:D21)</f>
        <v>37780</v>
      </c>
      <c r="E22" s="43"/>
      <c r="F22" s="42">
        <f>SUM(F20:F21)</f>
        <v>245</v>
      </c>
      <c r="G22" s="43"/>
      <c r="H22" s="42">
        <f>IF(H20+H21=0,0,H20+H21)</f>
        <v>338642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110,178 of UI's total customers, or 32.5%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228,464 or 67.5%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showGridLines="0" showZeros="0" zoomScaleNormal="100" workbookViewId="0">
      <selection activeCell="A5" sqref="A5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56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December 31,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s="124" t="s">
        <v>60</v>
      </c>
      <c r="C9" s="112">
        <v>199</v>
      </c>
      <c r="D9" s="113">
        <v>196</v>
      </c>
      <c r="E9" s="114">
        <v>395</v>
      </c>
      <c r="F9" s="21">
        <f>IF(E9=0,"",E9/$E$49)</f>
        <v>3.5851402742859218E-3</v>
      </c>
    </row>
    <row r="10" spans="1:11" ht="14.25" customHeight="1">
      <c r="A10" s="105">
        <v>2</v>
      </c>
      <c r="B10" s="124" t="s">
        <v>57</v>
      </c>
      <c r="C10" s="115">
        <v>589</v>
      </c>
      <c r="D10" s="116">
        <v>1085</v>
      </c>
      <c r="E10" s="117">
        <v>1674</v>
      </c>
      <c r="F10" s="21">
        <f>IF(E10=0,"",E10/$E$49)</f>
        <v>1.5193733719378818E-2</v>
      </c>
    </row>
    <row r="11" spans="1:11" ht="14.25" customHeight="1">
      <c r="A11" s="105">
        <v>3</v>
      </c>
      <c r="B11" s="124" t="s">
        <v>51</v>
      </c>
      <c r="C11" s="115">
        <v>11155</v>
      </c>
      <c r="D11" s="116">
        <v>841</v>
      </c>
      <c r="E11" s="117">
        <v>11996</v>
      </c>
      <c r="F11" s="21">
        <f>IF(E11=0,"",E11/$E$49)</f>
        <v>0.10887934868438967</v>
      </c>
    </row>
    <row r="12" spans="1:11" ht="14.25" customHeight="1">
      <c r="A12" s="105">
        <v>4</v>
      </c>
      <c r="B12" s="124" t="s">
        <v>61</v>
      </c>
      <c r="C12" s="115">
        <v>17</v>
      </c>
      <c r="D12" s="116">
        <v>3036</v>
      </c>
      <c r="E12" s="117">
        <v>3053</v>
      </c>
      <c r="F12" s="21">
        <f>IF(E12=0,"",E12/$E$49)</f>
        <v>2.7709957613658024E-2</v>
      </c>
    </row>
    <row r="13" spans="1:11" ht="14.25" customHeight="1">
      <c r="A13" s="105">
        <v>5</v>
      </c>
      <c r="B13" s="124" t="s">
        <v>62</v>
      </c>
      <c r="C13" s="115">
        <v>16</v>
      </c>
      <c r="D13" s="116">
        <v>184</v>
      </c>
      <c r="E13" s="117">
        <v>200</v>
      </c>
      <c r="F13" s="21">
        <f>IF(E13=0,"",E13/$E$49)</f>
        <v>1.8152608983726187E-3</v>
      </c>
    </row>
    <row r="14" spans="1:11" ht="14.25" customHeight="1">
      <c r="A14" s="105">
        <v>6</v>
      </c>
      <c r="B14" s="124" t="s">
        <v>63</v>
      </c>
      <c r="C14" s="115">
        <v>586</v>
      </c>
      <c r="D14" s="116">
        <v>15</v>
      </c>
      <c r="E14" s="117">
        <v>601</v>
      </c>
      <c r="F14" s="21">
        <f>IF(E14=0,"",E14/$E$49)</f>
        <v>5.4548589996097187E-3</v>
      </c>
    </row>
    <row r="15" spans="1:11" ht="14.25" customHeight="1">
      <c r="A15" s="105">
        <v>7</v>
      </c>
      <c r="B15" s="124" t="s">
        <v>64</v>
      </c>
      <c r="C15" s="115">
        <v>7942</v>
      </c>
      <c r="D15" s="116">
        <v>551</v>
      </c>
      <c r="E15" s="117">
        <v>8493</v>
      </c>
      <c r="F15" s="21">
        <f>IF(E15=0,"",E15/$E$49)</f>
        <v>7.7085054049393253E-2</v>
      </c>
    </row>
    <row r="16" spans="1:11" ht="14.25" customHeight="1">
      <c r="A16" s="105">
        <v>8</v>
      </c>
      <c r="B16" s="124" t="s">
        <v>65</v>
      </c>
      <c r="C16" s="115">
        <v>713</v>
      </c>
      <c r="D16" s="116">
        <v>101</v>
      </c>
      <c r="E16" s="117">
        <v>814</v>
      </c>
      <c r="F16" s="21">
        <f>IF(E16=0,"",E16/$E$49)</f>
        <v>7.3881118563765575E-3</v>
      </c>
    </row>
    <row r="17" spans="1:6" ht="14.25" customHeight="1">
      <c r="A17" s="105">
        <v>9</v>
      </c>
      <c r="B17" s="124" t="s">
        <v>66</v>
      </c>
      <c r="C17" s="115">
        <v>900</v>
      </c>
      <c r="D17" s="116">
        <v>4440</v>
      </c>
      <c r="E17" s="117">
        <v>5340</v>
      </c>
      <c r="F17" s="21">
        <f>IF(E17=0,"",E17/$E$49)</f>
        <v>4.846746598654892E-2</v>
      </c>
    </row>
    <row r="18" spans="1:6" ht="14.25" customHeight="1">
      <c r="A18" s="105">
        <v>10</v>
      </c>
      <c r="B18" s="124" t="s">
        <v>67</v>
      </c>
      <c r="C18" s="115">
        <v>7067</v>
      </c>
      <c r="D18" s="116">
        <v>679</v>
      </c>
      <c r="E18" s="117">
        <v>7746</v>
      </c>
      <c r="F18" s="21">
        <f>IF(E18=0,"",E18/$E$49)</f>
        <v>7.0305054593971517E-2</v>
      </c>
    </row>
    <row r="19" spans="1:6" ht="14.25" customHeight="1">
      <c r="A19" s="105">
        <v>11</v>
      </c>
      <c r="B19" s="124" t="s">
        <v>58</v>
      </c>
      <c r="C19" s="115">
        <v>47</v>
      </c>
      <c r="D19" s="116">
        <v>1238</v>
      </c>
      <c r="E19" s="117">
        <v>1285</v>
      </c>
      <c r="F19" s="21">
        <f>IF(E19=0,"",E19/$E$49)</f>
        <v>1.1663051272044074E-2</v>
      </c>
    </row>
    <row r="20" spans="1:6" ht="14.25" customHeight="1">
      <c r="A20" s="105">
        <v>12</v>
      </c>
      <c r="B20" s="124" t="s">
        <v>68</v>
      </c>
      <c r="C20" s="115">
        <v>7398</v>
      </c>
      <c r="D20" s="116">
        <v>2118</v>
      </c>
      <c r="E20" s="117">
        <v>9516</v>
      </c>
      <c r="F20" s="21">
        <f>IF(E20=0,"",E20/$E$49)</f>
        <v>8.6370113544569194E-2</v>
      </c>
    </row>
    <row r="21" spans="1:6" ht="14.25" customHeight="1">
      <c r="A21" s="105">
        <v>13</v>
      </c>
      <c r="B21" s="124" t="s">
        <v>69</v>
      </c>
      <c r="C21" s="115">
        <v>4589</v>
      </c>
      <c r="D21" s="116">
        <v>277</v>
      </c>
      <c r="E21" s="117">
        <v>4866</v>
      </c>
      <c r="F21" s="21">
        <f>IF(E21=0,"",E21/$E$49)</f>
        <v>4.416529765740581E-2</v>
      </c>
    </row>
    <row r="22" spans="1:6" ht="14.25" customHeight="1">
      <c r="A22" s="105">
        <v>14</v>
      </c>
      <c r="B22" s="124" t="s">
        <v>70</v>
      </c>
      <c r="C22" s="115"/>
      <c r="D22" s="116">
        <v>67</v>
      </c>
      <c r="E22" s="117">
        <v>67</v>
      </c>
      <c r="F22" s="21">
        <f>IF(E22=0,"",E22/$E$49)</f>
        <v>6.0811240095482724E-4</v>
      </c>
    </row>
    <row r="23" spans="1:6" ht="14.25" customHeight="1">
      <c r="A23" s="105">
        <v>15</v>
      </c>
      <c r="B23" s="124" t="s">
        <v>71</v>
      </c>
      <c r="C23" s="115">
        <v>4</v>
      </c>
      <c r="D23" s="116">
        <v>6</v>
      </c>
      <c r="E23" s="117">
        <v>10</v>
      </c>
      <c r="F23" s="21">
        <f>IF(E23=0,"",E23/$E$49)</f>
        <v>9.0763044918630933E-5</v>
      </c>
    </row>
    <row r="24" spans="1:6" ht="14.25" customHeight="1">
      <c r="A24" s="105">
        <v>16</v>
      </c>
      <c r="B24" s="124" t="s">
        <v>72</v>
      </c>
      <c r="C24" s="115">
        <v>489</v>
      </c>
      <c r="D24" s="116">
        <v>111</v>
      </c>
      <c r="E24" s="117">
        <v>600</v>
      </c>
      <c r="F24" s="21">
        <f>IF(E24=0,"",E24/$E$49)</f>
        <v>5.4457826951178562E-3</v>
      </c>
    </row>
    <row r="25" spans="1:6" ht="14.25" customHeight="1">
      <c r="A25" s="105">
        <v>17</v>
      </c>
      <c r="B25" s="124" t="s">
        <v>73</v>
      </c>
      <c r="C25" s="115">
        <v>8</v>
      </c>
      <c r="D25" s="116"/>
      <c r="E25" s="117">
        <v>8</v>
      </c>
      <c r="F25" s="21">
        <f>IF(E25=0,"",E25/$E$49)</f>
        <v>7.2610435934904749E-5</v>
      </c>
    </row>
    <row r="26" spans="1:6" ht="14.25" customHeight="1">
      <c r="A26" s="105">
        <v>18</v>
      </c>
      <c r="B26" s="124" t="s">
        <v>74</v>
      </c>
      <c r="C26" s="115">
        <v>145</v>
      </c>
      <c r="D26" s="116">
        <v>1019</v>
      </c>
      <c r="E26" s="117">
        <v>1164</v>
      </c>
      <c r="F26" s="21">
        <f>IF(E26=0,"",E26/$E$49)</f>
        <v>1.056481842852864E-2</v>
      </c>
    </row>
    <row r="27" spans="1:6" ht="14.25" customHeight="1">
      <c r="A27" s="105">
        <v>19</v>
      </c>
      <c r="B27" s="124" t="s">
        <v>75</v>
      </c>
      <c r="C27" s="115">
        <v>274</v>
      </c>
      <c r="D27" s="116">
        <v>90</v>
      </c>
      <c r="E27" s="117">
        <v>364</v>
      </c>
      <c r="F27" s="21">
        <f>IF(E27=0,"",E27/$E$49)</f>
        <v>3.303774835038166E-3</v>
      </c>
    </row>
    <row r="28" spans="1:6" ht="14.25" customHeight="1">
      <c r="A28" s="105">
        <v>20</v>
      </c>
      <c r="B28" s="124" t="s">
        <v>76</v>
      </c>
      <c r="C28" s="115">
        <v>30</v>
      </c>
      <c r="D28" s="116">
        <v>54</v>
      </c>
      <c r="E28" s="117">
        <v>84</v>
      </c>
      <c r="F28" s="21">
        <f>IF(E28=0,"",E28/$E$49)</f>
        <v>7.6240957731649986E-4</v>
      </c>
    </row>
    <row r="29" spans="1:6" ht="14.25" customHeight="1">
      <c r="A29" s="105">
        <v>21</v>
      </c>
      <c r="B29" s="124" t="s">
        <v>77</v>
      </c>
      <c r="C29" s="115">
        <v>276</v>
      </c>
      <c r="D29" s="116">
        <v>7</v>
      </c>
      <c r="E29" s="117">
        <v>283</v>
      </c>
      <c r="F29" s="21">
        <f>IF(E29=0,"",E29/$E$49)</f>
        <v>2.5685941711972552E-3</v>
      </c>
    </row>
    <row r="30" spans="1:6" ht="14.25" customHeight="1">
      <c r="A30" s="105">
        <v>22</v>
      </c>
      <c r="B30" s="124" t="s">
        <v>13</v>
      </c>
      <c r="C30" s="115">
        <v>4948</v>
      </c>
      <c r="D30" s="116">
        <v>234</v>
      </c>
      <c r="E30" s="117">
        <v>5182</v>
      </c>
      <c r="F30" s="21">
        <f>IF(E30=0,"",E30/$E$49)</f>
        <v>4.7033409876834548E-2</v>
      </c>
    </row>
    <row r="31" spans="1:6" ht="14.25" customHeight="1">
      <c r="A31" s="105">
        <v>23</v>
      </c>
      <c r="B31" s="124" t="s">
        <v>78</v>
      </c>
      <c r="C31" s="115">
        <v>1520</v>
      </c>
      <c r="D31" s="116">
        <v>26</v>
      </c>
      <c r="E31" s="117">
        <v>1546</v>
      </c>
      <c r="F31" s="21">
        <f>IF(E31=0,"",E31/$E$49)</f>
        <v>1.4031966744420341E-2</v>
      </c>
    </row>
    <row r="32" spans="1:6" ht="14.25" customHeight="1">
      <c r="A32" s="105">
        <v>24</v>
      </c>
      <c r="B32" s="124" t="s">
        <v>79</v>
      </c>
      <c r="C32" s="115">
        <v>214</v>
      </c>
      <c r="D32" s="116">
        <v>92</v>
      </c>
      <c r="E32" s="117">
        <v>306</v>
      </c>
      <c r="F32" s="21">
        <f>IF(E32=0,"",E32/$E$49)</f>
        <v>2.7773491745101066E-3</v>
      </c>
    </row>
    <row r="33" spans="1:7" ht="14.25" customHeight="1">
      <c r="A33" s="105">
        <v>25</v>
      </c>
      <c r="B33" s="124" t="s">
        <v>80</v>
      </c>
      <c r="C33" s="115">
        <v>11</v>
      </c>
      <c r="D33" s="116">
        <v>7</v>
      </c>
      <c r="E33" s="117">
        <v>18</v>
      </c>
      <c r="F33" s="21">
        <f>IF(E33=0,"",E33/$E$49)</f>
        <v>1.6337348085353567E-4</v>
      </c>
    </row>
    <row r="34" spans="1:7" ht="14.25" customHeight="1">
      <c r="A34" s="105">
        <v>26</v>
      </c>
      <c r="B34" s="124" t="s">
        <v>81</v>
      </c>
      <c r="C34" s="115">
        <v>221</v>
      </c>
      <c r="D34" s="116">
        <v>329</v>
      </c>
      <c r="E34" s="117">
        <v>550</v>
      </c>
      <c r="F34" s="21">
        <f>IF(E34=0,"",E34/$E$49)</f>
        <v>4.9919674705247007E-3</v>
      </c>
    </row>
    <row r="35" spans="1:7" ht="14.25" customHeight="1">
      <c r="A35" s="105">
        <v>27</v>
      </c>
      <c r="B35" s="124" t="s">
        <v>82</v>
      </c>
      <c r="C35" s="115">
        <v>10060</v>
      </c>
      <c r="D35" s="116">
        <v>260</v>
      </c>
      <c r="E35" s="117">
        <v>10320</v>
      </c>
      <c r="F35" s="21">
        <f>IF(E35=0,"",E35/$E$49)</f>
        <v>9.3667462356027117E-2</v>
      </c>
    </row>
    <row r="36" spans="1:7" ht="14.25" customHeight="1">
      <c r="A36" s="105">
        <v>28</v>
      </c>
      <c r="B36" s="124" t="s">
        <v>83</v>
      </c>
      <c r="C36" s="115">
        <v>1035</v>
      </c>
      <c r="D36" s="116">
        <v>236</v>
      </c>
      <c r="E36" s="117">
        <v>1271</v>
      </c>
      <c r="F36" s="21">
        <f>IF(E36=0,"",E36/$E$49)</f>
        <v>1.1535983009157992E-2</v>
      </c>
    </row>
    <row r="37" spans="1:7" ht="14.25" customHeight="1">
      <c r="A37" s="105">
        <v>29</v>
      </c>
      <c r="B37" s="124" t="s">
        <v>84</v>
      </c>
      <c r="C37" s="115">
        <v>1092</v>
      </c>
      <c r="D37" s="116">
        <v>68</v>
      </c>
      <c r="E37" s="117">
        <v>1160</v>
      </c>
      <c r="F37" s="21">
        <f>IF(E37=0,"",E37/$E$49)</f>
        <v>1.0528513210561188E-2</v>
      </c>
    </row>
    <row r="38" spans="1:7" ht="14.25" customHeight="1">
      <c r="A38" s="105">
        <v>30</v>
      </c>
      <c r="B38" s="124" t="s">
        <v>85</v>
      </c>
      <c r="C38" s="115">
        <v>4962</v>
      </c>
      <c r="D38" s="116">
        <v>842</v>
      </c>
      <c r="E38" s="117">
        <v>5804</v>
      </c>
      <c r="F38" s="21">
        <f>IF(E38=0,"",E38/$E$49)</f>
        <v>5.2678871270773392E-2</v>
      </c>
    </row>
    <row r="39" spans="1:7" ht="14.25" customHeight="1">
      <c r="A39" s="105">
        <v>31</v>
      </c>
      <c r="B39" s="124" t="s">
        <v>86</v>
      </c>
      <c r="C39" s="115">
        <v>2256</v>
      </c>
      <c r="D39" s="116">
        <v>602</v>
      </c>
      <c r="E39" s="117">
        <v>2858</v>
      </c>
      <c r="F39" s="21">
        <f>IF(E39=0,"",E39/$E$49)</f>
        <v>2.5940078237744722E-2</v>
      </c>
    </row>
    <row r="40" spans="1:7" ht="14.25" customHeight="1">
      <c r="A40" s="105">
        <v>32</v>
      </c>
      <c r="B40" s="124" t="s">
        <v>87</v>
      </c>
      <c r="C40" s="115">
        <v>3118</v>
      </c>
      <c r="D40" s="116">
        <v>208</v>
      </c>
      <c r="E40" s="117">
        <v>3326</v>
      </c>
      <c r="F40" s="21">
        <f>IF(E40=0,"",E40/$E$49)</f>
        <v>3.0187788739936647E-2</v>
      </c>
    </row>
    <row r="41" spans="1:7" ht="14.25" customHeight="1">
      <c r="A41" s="105">
        <v>33</v>
      </c>
      <c r="B41" s="124" t="s">
        <v>88</v>
      </c>
      <c r="C41" s="115">
        <v>1836</v>
      </c>
      <c r="D41" s="116">
        <v>206</v>
      </c>
      <c r="E41" s="117">
        <v>2042</v>
      </c>
      <c r="F41" s="21">
        <f>IF(E41=0,"",E41/$E$49)</f>
        <v>1.8533813772384437E-2</v>
      </c>
    </row>
    <row r="42" spans="1:7" ht="14.25" customHeight="1">
      <c r="A42" s="105">
        <v>34</v>
      </c>
      <c r="B42" s="124" t="s">
        <v>89</v>
      </c>
      <c r="C42" s="115"/>
      <c r="D42" s="116">
        <v>13</v>
      </c>
      <c r="E42" s="117">
        <v>13</v>
      </c>
      <c r="F42" s="21">
        <f>IF(E42=0,"",E42/$E$49)</f>
        <v>1.1799195839422022E-4</v>
      </c>
    </row>
    <row r="43" spans="1:7" ht="14.25" customHeight="1">
      <c r="A43" s="105">
        <v>35</v>
      </c>
      <c r="B43" s="124" t="s">
        <v>55</v>
      </c>
      <c r="C43" s="115">
        <v>3470</v>
      </c>
      <c r="D43" s="116">
        <v>120</v>
      </c>
      <c r="E43" s="117">
        <v>3590</v>
      </c>
      <c r="F43" s="21">
        <f>IF(E43=0,"",E43/$E$49)</f>
        <v>3.2583933125788507E-2</v>
      </c>
    </row>
    <row r="44" spans="1:7" ht="15">
      <c r="A44" s="105">
        <v>36</v>
      </c>
      <c r="B44" s="124" t="s">
        <v>90</v>
      </c>
      <c r="C44" s="115">
        <v>7197</v>
      </c>
      <c r="D44" s="116">
        <v>173</v>
      </c>
      <c r="E44" s="117">
        <v>7370</v>
      </c>
      <c r="F44" s="21">
        <f>IF(E44=0,"",E44/$E$49)</f>
        <v>6.6892364105030994E-2</v>
      </c>
    </row>
    <row r="45" spans="1:7" ht="15">
      <c r="A45" s="105">
        <v>37</v>
      </c>
      <c r="B45" s="124" t="s">
        <v>91</v>
      </c>
      <c r="C45" s="115">
        <v>3049</v>
      </c>
      <c r="D45" s="116">
        <v>87</v>
      </c>
      <c r="E45" s="117">
        <v>3136</v>
      </c>
      <c r="F45" s="21">
        <f>IF(E45=0,"",E45/$E$49)</f>
        <v>2.846329088648266E-2</v>
      </c>
      <c r="G45" s="109"/>
    </row>
    <row r="46" spans="1:7" ht="15">
      <c r="A46" s="105">
        <v>38</v>
      </c>
      <c r="B46" s="124" t="s">
        <v>92</v>
      </c>
      <c r="C46" s="115">
        <v>676</v>
      </c>
      <c r="D46" s="116">
        <v>125</v>
      </c>
      <c r="E46" s="117">
        <v>801</v>
      </c>
      <c r="F46" s="21">
        <f>IF(E46=0,"",E46/$E$49)</f>
        <v>7.2701198979823372E-3</v>
      </c>
    </row>
    <row r="47" spans="1:7" ht="15">
      <c r="A47" s="105">
        <v>39</v>
      </c>
      <c r="B47" s="124" t="s">
        <v>94</v>
      </c>
      <c r="C47" s="115">
        <v>1</v>
      </c>
      <c r="D47" s="116">
        <v>4</v>
      </c>
      <c r="E47" s="117">
        <v>5</v>
      </c>
      <c r="F47" s="21">
        <f>IF(E47=0,"",E47/$E$49)</f>
        <v>4.5381522459315467E-5</v>
      </c>
    </row>
    <row r="48" spans="1:7" ht="15">
      <c r="A48" s="105">
        <v>40</v>
      </c>
      <c r="B48" s="124" t="s">
        <v>93</v>
      </c>
      <c r="C48" s="115">
        <v>1975</v>
      </c>
      <c r="D48" s="116">
        <v>345</v>
      </c>
      <c r="E48" s="117">
        <v>2320</v>
      </c>
      <c r="F48" s="21">
        <f>IF(E48=0,"",E48/$E$49)</f>
        <v>2.1057026421122376E-2</v>
      </c>
    </row>
    <row r="49" spans="1:10">
      <c r="A49" s="105"/>
      <c r="B49" s="108" t="s">
        <v>59</v>
      </c>
      <c r="C49" s="118">
        <v>90085</v>
      </c>
      <c r="D49" s="119">
        <v>20092</v>
      </c>
      <c r="E49" s="120">
        <v>110177</v>
      </c>
      <c r="F49" s="21">
        <f>SUM(F9:F48)</f>
        <v>1</v>
      </c>
    </row>
    <row r="50" spans="1:10">
      <c r="A50" s="106"/>
    </row>
    <row r="51" spans="1:10">
      <c r="A51" s="1" t="s">
        <v>23</v>
      </c>
      <c r="B51" s="103"/>
    </row>
    <row r="52" spans="1:10">
      <c r="A52" s="1" t="s">
        <v>22</v>
      </c>
      <c r="J52" s="104"/>
    </row>
    <row r="53" spans="1:10">
      <c r="A53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F49" sqref="F49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56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December 31,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3444</v>
      </c>
      <c r="C13" s="43">
        <f>IF(B13=0,0,B13/'Summary Load Customers '!$B$22)</f>
        <v>1.1456437925998863E-2</v>
      </c>
      <c r="D13" s="42">
        <f>REC_programs_detail!C23</f>
        <v>39</v>
      </c>
      <c r="E13" s="43">
        <f>IF(D13=0,0,D13/('Summary Load Customers '!$D$22+'Summary Load Customers '!$F$22))</f>
        <v>1.0256410256410256E-3</v>
      </c>
      <c r="F13" s="42">
        <f>B13+D13</f>
        <v>3483</v>
      </c>
      <c r="G13" s="43">
        <f>IF(F13=0,0,F13/'Summary Load Customers '!$H$22)</f>
        <v>1.0285197937645065E-2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3,483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637</v>
      </c>
      <c r="C20" s="43">
        <f>IF(B20=0,0,B20/'Summary Load Customers '!$B$22)</f>
        <v>2.118975307451009E-3</v>
      </c>
      <c r="D20" s="42">
        <f>REC_programs_detail!C29</f>
        <v>59</v>
      </c>
      <c r="E20" s="43">
        <f>IF(D20=0,0,D20/('Summary Load Customers '!$D$22+'Summary Load Customers '!$F$22))</f>
        <v>1.5516107823800131E-3</v>
      </c>
      <c r="F20" s="42">
        <f>B20+D20</f>
        <v>696</v>
      </c>
      <c r="G20" s="43">
        <f>IF(F20=0,0,F20/'Summary Load Customers '!$H$22)</f>
        <v>2.0552678049385485E-3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0,696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4081</v>
      </c>
      <c r="C27" s="43">
        <f>IF(B27=0,0,B27/'Summary Load Customers '!$B$22)</f>
        <v>1.3575413233449872E-2</v>
      </c>
      <c r="D27" s="42">
        <f>D13+D20</f>
        <v>98</v>
      </c>
      <c r="E27" s="43">
        <f>IF(D27=0,0,D27/('Summary Load Customers '!$D$22+'Summary Load Customers '!$F$22))</f>
        <v>2.577251808021039E-3</v>
      </c>
      <c r="F27" s="42">
        <f>B27+D27</f>
        <v>4179</v>
      </c>
      <c r="G27" s="43">
        <f>IF(F27=0,0,F27/'Summary Load Customers '!$H$22)</f>
        <v>1.2340465742583613E-2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4,179 of UI's customers, or 1.2%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B33" sqref="B33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56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35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2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December 31, 2018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129</v>
      </c>
      <c r="C9" s="84">
        <v>2</v>
      </c>
      <c r="D9" s="85">
        <f>SUM(B9:C9)</f>
        <v>131</v>
      </c>
      <c r="E9" s="87"/>
      <c r="F9" s="87"/>
      <c r="G9" s="86"/>
      <c r="H9" s="75"/>
    </row>
    <row r="10" spans="1:9">
      <c r="A10" s="82" t="s">
        <v>16</v>
      </c>
      <c r="B10" s="84">
        <v>2825</v>
      </c>
      <c r="C10" s="84">
        <v>36</v>
      </c>
      <c r="D10" s="85">
        <f>SUM(B10:C10)</f>
        <v>2861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2954</v>
      </c>
      <c r="C11" s="91">
        <f>IF(SUM(C8:C10)=0,0,SUM(C8:C10))</f>
        <v>38</v>
      </c>
      <c r="D11" s="91">
        <f>IF(SUM(D8:D10)=0,0,SUM(D8:D10))</f>
        <v>2992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>
      <c r="A16" s="82" t="s">
        <v>16</v>
      </c>
      <c r="B16" s="84">
        <v>487</v>
      </c>
      <c r="C16" s="84">
        <v>1</v>
      </c>
      <c r="D16" s="85">
        <f>SUM(B16:C16)</f>
        <v>488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490</v>
      </c>
      <c r="C17" s="91">
        <f>IF(SUM(C14:C16)=0,0,SUM(C14:C16))</f>
        <v>1</v>
      </c>
      <c r="D17" s="91">
        <f>IF(SUM(D14:D16)=0,0,SUM(D14:D16))</f>
        <v>491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132</v>
      </c>
      <c r="C21" s="96">
        <f>IF(C9+C15=0,0,C9+C15)</f>
        <v>2</v>
      </c>
      <c r="D21" s="85">
        <f t="shared" si="0"/>
        <v>134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3312</v>
      </c>
      <c r="C22" s="96">
        <f>IF(C10+C16=0,0,C10+C16)</f>
        <v>37</v>
      </c>
      <c r="D22" s="85">
        <f>IF(D10+D16=0,0,D10+D16)</f>
        <v>3349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3444</v>
      </c>
      <c r="C23" s="91">
        <f>IF(SUM(C20:C22)=0,0,SUM(C20:C22))</f>
        <v>39</v>
      </c>
      <c r="D23" s="91">
        <f>SUM(D20:D22)</f>
        <v>3483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187</v>
      </c>
      <c r="C27" s="84">
        <v>11</v>
      </c>
      <c r="D27" s="85">
        <f>SUM(B27:C27)</f>
        <v>198</v>
      </c>
    </row>
    <row r="28" spans="1:8">
      <c r="A28" s="82" t="s">
        <v>16</v>
      </c>
      <c r="B28" s="84">
        <v>450</v>
      </c>
      <c r="C28" s="84">
        <v>48</v>
      </c>
      <c r="D28" s="85">
        <f>SUM(B28:C28)</f>
        <v>498</v>
      </c>
    </row>
    <row r="29" spans="1:8">
      <c r="A29" s="90" t="str">
        <f>A23</f>
        <v>Total</v>
      </c>
      <c r="B29" s="110">
        <f>IF(B27+B28=0,0,B27+B28)</f>
        <v>637</v>
      </c>
      <c r="C29" s="91">
        <f>IF(SUM(C26:C28)=0,0,SUM(C26:C28))</f>
        <v>59</v>
      </c>
      <c r="D29" s="91">
        <f>IF(SUM(D26:D28)=0,0,SUM(D26:D28))</f>
        <v>696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319</v>
      </c>
      <c r="C33" s="96">
        <f t="shared" si="1"/>
        <v>13</v>
      </c>
      <c r="D33" s="85">
        <f t="shared" si="1"/>
        <v>332</v>
      </c>
      <c r="E33" s="75"/>
      <c r="F33" s="75"/>
      <c r="G33" s="75"/>
    </row>
    <row r="34" spans="1:7">
      <c r="A34" s="82" t="s">
        <v>16</v>
      </c>
      <c r="B34" s="96">
        <f>B22+B28</f>
        <v>3762</v>
      </c>
      <c r="C34" s="96">
        <f t="shared" si="1"/>
        <v>85</v>
      </c>
      <c r="D34" s="85">
        <f t="shared" si="1"/>
        <v>3847</v>
      </c>
    </row>
    <row r="35" spans="1:7">
      <c r="A35" s="90" t="str">
        <f>A29</f>
        <v>Total</v>
      </c>
      <c r="B35" s="91">
        <f>IF(B33+B34=0,0,B33+B34)</f>
        <v>4081</v>
      </c>
      <c r="C35" s="91">
        <f>IF(SUM(C32:C34)=0,0,SUM(C32:C34))</f>
        <v>98</v>
      </c>
      <c r="D35" s="91">
        <f>SUM(D32:D34)</f>
        <v>4179</v>
      </c>
    </row>
    <row r="37" spans="1:7">
      <c r="A37" s="97" t="str">
        <f>"In summary, "&amp;TEXT($D$23,"0,000")&amp; " of UI's customers are participating in the CTCleanEnergyOptions Program"</f>
        <v>In summary, 3,483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696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4,179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2019-01-14T18:15:43Z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774866190</vt:i4>
  </property>
  <property fmtid="{D5CDD505-2E9C-101B-9397-08002B2CF9AE}" pid="4" name="_NewReviewCycle">
    <vt:lpwstr/>
  </property>
  <property fmtid="{D5CDD505-2E9C-101B-9397-08002B2CF9AE}" pid="5" name="_EmailSubject">
    <vt:lpwstr>Website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