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B11" i="7" l="1"/>
  <c r="B21" i="7" l="1"/>
  <c r="B20" i="7"/>
  <c r="F12" i="7" l="1"/>
  <c r="F11" i="7"/>
  <c r="D12" i="7"/>
  <c r="D11" i="7"/>
  <c r="B12" i="7"/>
  <c r="F21" i="7" l="1"/>
  <c r="F20" i="7"/>
  <c r="D21" i="7"/>
  <c r="D20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<sst xmlns="http://schemas.openxmlformats.org/spreadsheetml/2006/main" count="161" uniqueCount="95">
  <si>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</si>
  <si>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</si>
  <si>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</si>
  <si>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</si>
  <si>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</si>
  <si>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</si>
  <si>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</si>
  <si>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</si>
  <si>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</si>
  <si>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</si>
  <si>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</si>
  <si>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</si>
  <si>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</si>
  <si>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</si>
  <si>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</si>
  <si>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</si>
  <si>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</si>
  <si>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</si>
  <si>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</si>
  <si>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</si>
  <si>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</si>
  <si>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</si>
  <si>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</si>
  <si>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</si>
  <si>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</si>
  <si>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</si>
  <si>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</si>
  <si>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</si>
  <si>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</si>
  <si>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</si>
  <si>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</si>
  <si>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</si>
  <si>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</si>
  <si>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</si>
  <si>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</si>
  <si>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</si>
  <si>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</si>
  <si>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</si>
  <si>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</si>
  <si>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</si>
  <si>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</si>
  <si>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</si>
  <si>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</si>
  <si>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</si>
  <si>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</si>
  <si>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</si>
  <si>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</si>
  <si>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</si>
  <si>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</si>
  <si>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</si>
  <si>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</si>
  <si>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</si>
  <si>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</si>
  <si>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</si>
  <si>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</si>
  <si>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</si>
  <si>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</si>
  <si>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</si>
  <si>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</si>
  <si>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</si>
  <si>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</si>
  <si>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</si>
  <si>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</si>
  <si>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</si>
  <si>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</si>
  <si>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</si>
  <si>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</si>
  <si>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</si>
  <si>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</si>
  <si>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</si>
  <si>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</si>
  <si>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</si>
  <si>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</si>
  <si>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</si>
  <si>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</si>
  <si>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</si>
  <si>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HIKO Energy,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</si>
  <si>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</si>
  <si>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</si>
  <si>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</si>
  <si>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</si>
  <si>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</si>
  <si>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</si>
  <si>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</si>
  <si>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</si>
  <si>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</si>
  <si>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</si>
  <si>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</si>
  <si>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</si>
  <si>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</si>
  <si>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</si>
  <si>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</si>
  <si>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</si>
  <si>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</si>
  <si>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Data as of February 28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</si>
</sst>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1" fillId="0" borderId="0" xfId="0" applyFont="1" applyFill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02_February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9/201902_February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55196.320999999996</v>
          </cell>
        </row>
        <row r="25">
          <cell r="H25">
            <v>94383.758000000016</v>
          </cell>
        </row>
        <row r="26">
          <cell r="H26">
            <v>88500.604999999996</v>
          </cell>
        </row>
        <row r="29">
          <cell r="H29">
            <v>114832.34300000001</v>
          </cell>
        </row>
        <row r="30">
          <cell r="H30">
            <v>47643.234999999993</v>
          </cell>
        </row>
        <row r="31">
          <cell r="H31">
            <v>3594.3820000000005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90384</v>
          </cell>
        </row>
        <row r="19">
          <cell r="B19">
            <v>19685</v>
          </cell>
        </row>
        <row r="20">
          <cell r="B20">
            <v>218</v>
          </cell>
        </row>
        <row r="22">
          <cell r="B22">
            <v>210602</v>
          </cell>
        </row>
        <row r="23">
          <cell r="B23">
            <v>18135</v>
          </cell>
        </row>
        <row r="24">
          <cell r="B24">
            <v>23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B11" sqref="B11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56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94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>
      <c r="A11" s="39" t="s">
        <v>11</v>
      </c>
      <c r="B11" s="68">
        <f>[1]Check!$H$24</f>
        <v>55196.320999999996</v>
      </c>
      <c r="C11" s="40">
        <f>IF(B11=0,0,B11/$B$13)</f>
        <v>0.3246295048227868</v>
      </c>
      <c r="D11" s="68">
        <f>[1]Check!$H$25</f>
        <v>94383.758000000016</v>
      </c>
      <c r="E11" s="40">
        <f>IF(D11=0,0,D11/$D$13)</f>
        <v>0.66454802714861394</v>
      </c>
      <c r="F11" s="68">
        <f>[1]Check!$H$26</f>
        <v>88500.604999999996</v>
      </c>
      <c r="G11" s="40">
        <f>IF(F11=0,0,F11/$F$13)</f>
        <v>0.96097092668029804</v>
      </c>
      <c r="H11" s="41">
        <f>IF(B11+D11+F11=0,0,B11+D11+F11)</f>
        <v>238080.68400000001</v>
      </c>
      <c r="I11" s="40">
        <f>IF(H11=0,0,H11/$H$13)</f>
        <v>0.58908896356973262</v>
      </c>
    </row>
    <row r="12" spans="1:15" ht="18" customHeight="1">
      <c r="A12" s="39" t="s">
        <v>12</v>
      </c>
      <c r="B12" s="69">
        <f>[1]Check!$H$29</f>
        <v>114832.34300000001</v>
      </c>
      <c r="C12" s="40">
        <f>IF(B12=0,0,B12/$B$13)</f>
        <v>0.67537049517721326</v>
      </c>
      <c r="D12" s="69">
        <f>[1]Check!$H$30</f>
        <v>47643.234999999993</v>
      </c>
      <c r="E12" s="40">
        <f>IF(D12=0,0,D12/$D$13)</f>
        <v>0.335451972851386</v>
      </c>
      <c r="F12" s="69">
        <f>[1]Check!$H$31</f>
        <v>3594.3820000000005</v>
      </c>
      <c r="G12" s="40">
        <f>IF(F12=0,0,F12/$F$13)</f>
        <v>3.9029073319701978E-2</v>
      </c>
      <c r="H12" s="102">
        <f>IF(B12+D12+F12=0,0,B12+D12+F12)</f>
        <v>166069.96000000002</v>
      </c>
      <c r="I12" s="40">
        <f>IF(H12=0,0,H12/$H$13)</f>
        <v>0.41091103643026733</v>
      </c>
    </row>
    <row r="13" spans="1:15" ht="18" customHeight="1">
      <c r="A13" s="107" t="s">
        <v>7</v>
      </c>
      <c r="B13" s="42">
        <f>SUM(B11:B12)</f>
        <v>170028.66399999999</v>
      </c>
      <c r="C13" s="43"/>
      <c r="D13" s="42">
        <f>SUM(D11:D12)</f>
        <v>142026.99300000002</v>
      </c>
      <c r="E13" s="43"/>
      <c r="F13" s="42">
        <f>SUM(F11:F12)</f>
        <v>92094.986999999994</v>
      </c>
      <c r="G13" s="43"/>
      <c r="H13" s="42">
        <f>IF(H11+H12=0,0,H11+H12)</f>
        <v>404150.64400000003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238,081 MWh, or 58.9%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166,070 MHh, or 41.1%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>
      <c r="A20" s="39" t="str">
        <f>A11</f>
        <v>Suppliers</v>
      </c>
      <c r="B20" s="68">
        <f>[2]Summary!$B$18</f>
        <v>90384</v>
      </c>
      <c r="C20" s="40">
        <f>IF(B20=0,0,B20/$B$22)</f>
        <v>0.30029303688543652</v>
      </c>
      <c r="D20" s="68">
        <f>[2]Summary!$B$19</f>
        <v>19685</v>
      </c>
      <c r="E20" s="53">
        <f>IF(D20=0,0,D20/$D$22)</f>
        <v>0.52049180327868849</v>
      </c>
      <c r="F20" s="68">
        <f>[2]Summary!$B$20</f>
        <v>218</v>
      </c>
      <c r="G20" s="40">
        <f>IF(F20=0,0,F20/$F$22)</f>
        <v>0.9045643153526971</v>
      </c>
      <c r="H20" s="41">
        <f>IF(B20+D20+F20=0,0,B20+D20+F20)</f>
        <v>110287</v>
      </c>
      <c r="I20" s="40">
        <f>IF(H20=0,0,H20/$H$22)</f>
        <v>0.32528528493099779</v>
      </c>
      <c r="J20" s="54"/>
      <c r="K20" s="54"/>
      <c r="M20" s="101"/>
    </row>
    <row r="21" spans="1:17" ht="18" customHeight="1">
      <c r="A21" s="39" t="str">
        <f>A12</f>
        <v>UI</v>
      </c>
      <c r="B21" s="69">
        <f>[2]Summary!$B$22</f>
        <v>210602</v>
      </c>
      <c r="C21" s="40">
        <f>IF(B21=0,0,B21/$B$22)</f>
        <v>0.69970696311456348</v>
      </c>
      <c r="D21" s="69">
        <f>[2]Summary!$B$23</f>
        <v>18135</v>
      </c>
      <c r="E21" s="53">
        <f>IF(D21=0,0,D21/$D$22)</f>
        <v>0.47950819672131145</v>
      </c>
      <c r="F21" s="69">
        <f>[2]Summary!$B$24</f>
        <v>23</v>
      </c>
      <c r="G21" s="40">
        <f>IF(F21=0,0,F21/$F$22)</f>
        <v>9.5435684647302899E-2</v>
      </c>
      <c r="H21" s="69">
        <f>IF(B21+D21+F21=0,0,B21+D21+F21)</f>
        <v>228760</v>
      </c>
      <c r="I21" s="40">
        <f>IF(H21=0,0,H21/$H$22)</f>
        <v>0.67471471506900227</v>
      </c>
    </row>
    <row r="22" spans="1:17" ht="18" customHeight="1">
      <c r="A22" s="39" t="str">
        <f>A13</f>
        <v>Total</v>
      </c>
      <c r="B22" s="42">
        <f>SUM(B20:B21)</f>
        <v>300986</v>
      </c>
      <c r="C22" s="55"/>
      <c r="D22" s="42">
        <f>SUM(D20:D21)</f>
        <v>37820</v>
      </c>
      <c r="E22" s="43"/>
      <c r="F22" s="42">
        <f>SUM(F20:F21)</f>
        <v>241</v>
      </c>
      <c r="G22" s="43"/>
      <c r="H22" s="42">
        <f>IF(H20+H21=0,0,H20+H21)</f>
        <v>339047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110,287 of UI's total customers, or 32.5%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228,760 or 67.5%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28</v>
      </c>
      <c r="I28" s="101"/>
    </row>
    <row r="29" spans="1:17" ht="13.5">
      <c r="A29" s="66" t="s">
        <v>32</v>
      </c>
    </row>
    <row r="30" spans="1:17" ht="13.5">
      <c r="A30" s="66" t="s">
        <v>50</v>
      </c>
    </row>
    <row r="31" spans="1:17">
      <c r="A31" s="67" t="s">
        <v>18</v>
      </c>
    </row>
    <row r="32" spans="1:17">
      <c r="A32" s="67" t="s">
        <v>24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showGridLines="0" showZeros="0" topLeftCell="A16" zoomScaleNormal="100" workbookViewId="0">
      <selection activeCell="J27" sqref="J27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2" t="s">
        <v>56</v>
      </c>
      <c r="B2" s="122"/>
      <c r="C2" s="122"/>
      <c r="D2" s="122"/>
      <c r="E2" s="122"/>
      <c r="F2" s="122"/>
      <c r="G2" s="24"/>
      <c r="H2" s="25"/>
      <c r="I2" s="25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February 28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5">
        <v>1</v>
      </c>
      <c r="B9" s="121" t="s">
        <v>60</v>
      </c>
      <c r="C9" s="112">
        <v>189</v>
      </c>
      <c r="D9" s="113">
        <v>197</v>
      </c>
      <c r="E9" s="114">
        <v>386</v>
      </c>
      <c r="F9" s="21">
        <f t="shared" ref="F9:F47" si="0">IF(E9=0,"",E9/$E$48)</f>
        <v>3.4999909326659776E-3</v>
      </c>
    </row>
    <row r="10" spans="1:11" ht="14.25" customHeight="1">
      <c r="A10" s="105">
        <v>2</v>
      </c>
      <c r="B10" s="121" t="s">
        <v>57</v>
      </c>
      <c r="C10" s="115">
        <v>563</v>
      </c>
      <c r="D10" s="116">
        <v>1108</v>
      </c>
      <c r="E10" s="117">
        <v>1671</v>
      </c>
      <c r="F10" s="21">
        <f t="shared" si="0"/>
        <v>1.5151515151515152E-2</v>
      </c>
    </row>
    <row r="11" spans="1:11" ht="14.25" customHeight="1">
      <c r="A11" s="105">
        <v>3</v>
      </c>
      <c r="B11" s="121" t="s">
        <v>51</v>
      </c>
      <c r="C11" s="115">
        <v>10954</v>
      </c>
      <c r="D11" s="116">
        <v>853</v>
      </c>
      <c r="E11" s="117">
        <v>11807</v>
      </c>
      <c r="F11" s="21">
        <f t="shared" si="0"/>
        <v>0.10705801280307564</v>
      </c>
    </row>
    <row r="12" spans="1:11" ht="14.25" customHeight="1">
      <c r="A12" s="105">
        <v>4</v>
      </c>
      <c r="B12" s="121" t="s">
        <v>61</v>
      </c>
      <c r="C12" s="115">
        <v>17</v>
      </c>
      <c r="D12" s="116">
        <v>3032</v>
      </c>
      <c r="E12" s="117">
        <v>3049</v>
      </c>
      <c r="F12" s="21">
        <f t="shared" si="0"/>
        <v>2.7646301434452243E-2</v>
      </c>
    </row>
    <row r="13" spans="1:11" ht="14.25" customHeight="1">
      <c r="A13" s="105">
        <v>5</v>
      </c>
      <c r="B13" s="121" t="s">
        <v>62</v>
      </c>
      <c r="C13" s="115">
        <v>16</v>
      </c>
      <c r="D13" s="116">
        <v>174</v>
      </c>
      <c r="E13" s="117">
        <v>190</v>
      </c>
      <c r="F13" s="21">
        <f t="shared" si="0"/>
        <v>1.7227934642656366E-3</v>
      </c>
    </row>
    <row r="14" spans="1:11" ht="14.25" customHeight="1">
      <c r="A14" s="105">
        <v>6</v>
      </c>
      <c r="B14" s="121" t="s">
        <v>63</v>
      </c>
      <c r="C14" s="115">
        <v>560</v>
      </c>
      <c r="D14" s="116">
        <v>14</v>
      </c>
      <c r="E14" s="117">
        <v>574</v>
      </c>
      <c r="F14" s="21">
        <f t="shared" si="0"/>
        <v>5.2046497288867127E-3</v>
      </c>
    </row>
    <row r="15" spans="1:11" ht="14.25" customHeight="1">
      <c r="A15" s="105">
        <v>7</v>
      </c>
      <c r="B15" s="121" t="s">
        <v>64</v>
      </c>
      <c r="C15" s="115">
        <v>7813</v>
      </c>
      <c r="D15" s="116">
        <v>444</v>
      </c>
      <c r="E15" s="117">
        <v>8257</v>
      </c>
      <c r="F15" s="21">
        <f t="shared" si="0"/>
        <v>7.4868977023375582E-2</v>
      </c>
    </row>
    <row r="16" spans="1:11" ht="14.25" customHeight="1">
      <c r="A16" s="105">
        <v>8</v>
      </c>
      <c r="B16" s="121" t="s">
        <v>65</v>
      </c>
      <c r="C16" s="115">
        <v>661</v>
      </c>
      <c r="D16" s="116">
        <v>100</v>
      </c>
      <c r="E16" s="117">
        <v>761</v>
      </c>
      <c r="F16" s="21">
        <f t="shared" si="0"/>
        <v>6.9002411910849973E-3</v>
      </c>
    </row>
    <row r="17" spans="1:6" ht="14.25" customHeight="1">
      <c r="A17" s="105">
        <v>9</v>
      </c>
      <c r="B17" s="121" t="s">
        <v>66</v>
      </c>
      <c r="C17" s="115">
        <v>863</v>
      </c>
      <c r="D17" s="116">
        <v>4393</v>
      </c>
      <c r="E17" s="117">
        <v>5256</v>
      </c>
      <c r="F17" s="21">
        <f t="shared" si="0"/>
        <v>4.7657907622000978E-2</v>
      </c>
    </row>
    <row r="18" spans="1:6" ht="14.25" customHeight="1">
      <c r="A18" s="105">
        <v>10</v>
      </c>
      <c r="B18" s="121" t="s">
        <v>67</v>
      </c>
      <c r="C18" s="115">
        <v>7311</v>
      </c>
      <c r="D18" s="116">
        <v>703</v>
      </c>
      <c r="E18" s="117">
        <v>8014</v>
      </c>
      <c r="F18" s="21">
        <f t="shared" si="0"/>
        <v>7.266561485592006E-2</v>
      </c>
    </row>
    <row r="19" spans="1:6" ht="14.25" customHeight="1">
      <c r="A19" s="105">
        <v>11</v>
      </c>
      <c r="B19" s="121" t="s">
        <v>58</v>
      </c>
      <c r="C19" s="115">
        <v>54</v>
      </c>
      <c r="D19" s="116">
        <v>1294</v>
      </c>
      <c r="E19" s="117">
        <v>1348</v>
      </c>
      <c r="F19" s="21">
        <f t="shared" si="0"/>
        <v>1.222276626226357E-2</v>
      </c>
    </row>
    <row r="20" spans="1:6" ht="14.25" customHeight="1">
      <c r="A20" s="105">
        <v>12</v>
      </c>
      <c r="B20" s="121" t="s">
        <v>68</v>
      </c>
      <c r="C20" s="115">
        <v>7343</v>
      </c>
      <c r="D20" s="116">
        <v>2033</v>
      </c>
      <c r="E20" s="117">
        <v>9376</v>
      </c>
      <c r="F20" s="21">
        <f t="shared" si="0"/>
        <v>8.5015323794497943E-2</v>
      </c>
    </row>
    <row r="21" spans="1:6" ht="14.25" customHeight="1">
      <c r="A21" s="105">
        <v>13</v>
      </c>
      <c r="B21" s="121" t="s">
        <v>69</v>
      </c>
      <c r="C21" s="115">
        <v>4844</v>
      </c>
      <c r="D21" s="116">
        <v>281</v>
      </c>
      <c r="E21" s="117">
        <v>5125</v>
      </c>
      <c r="F21" s="21">
        <f t="shared" si="0"/>
        <v>4.6470086865059934E-2</v>
      </c>
    </row>
    <row r="22" spans="1:6" ht="14.25" customHeight="1">
      <c r="A22" s="105">
        <v>14</v>
      </c>
      <c r="B22" s="121" t="s">
        <v>70</v>
      </c>
      <c r="C22" s="115"/>
      <c r="D22" s="116">
        <v>68</v>
      </c>
      <c r="E22" s="117">
        <v>68</v>
      </c>
      <c r="F22" s="21">
        <f t="shared" si="0"/>
        <v>6.165787135266489E-4</v>
      </c>
    </row>
    <row r="23" spans="1:6" ht="14.25" customHeight="1">
      <c r="A23" s="105">
        <v>15</v>
      </c>
      <c r="B23" s="121" t="s">
        <v>71</v>
      </c>
      <c r="C23" s="115">
        <v>4</v>
      </c>
      <c r="D23" s="116">
        <v>5</v>
      </c>
      <c r="E23" s="117">
        <v>9</v>
      </c>
      <c r="F23" s="21">
        <f t="shared" si="0"/>
        <v>8.1606006202056478E-5</v>
      </c>
    </row>
    <row r="24" spans="1:6" ht="14.25" customHeight="1">
      <c r="A24" s="105">
        <v>16</v>
      </c>
      <c r="B24" s="121" t="s">
        <v>72</v>
      </c>
      <c r="C24" s="115">
        <v>479</v>
      </c>
      <c r="D24" s="116">
        <v>107</v>
      </c>
      <c r="E24" s="117">
        <v>586</v>
      </c>
      <c r="F24" s="21">
        <f t="shared" si="0"/>
        <v>5.3134577371561215E-3</v>
      </c>
    </row>
    <row r="25" spans="1:6" ht="14.25" customHeight="1">
      <c r="A25" s="105">
        <v>17</v>
      </c>
      <c r="B25" s="121" t="s">
        <v>73</v>
      </c>
      <c r="C25" s="115">
        <v>13</v>
      </c>
      <c r="D25" s="116"/>
      <c r="E25" s="117">
        <v>13</v>
      </c>
      <c r="F25" s="21">
        <f t="shared" si="0"/>
        <v>1.1787534229185935E-4</v>
      </c>
    </row>
    <row r="26" spans="1:6" ht="14.25" customHeight="1">
      <c r="A26" s="105">
        <v>18</v>
      </c>
      <c r="B26" s="121" t="s">
        <v>74</v>
      </c>
      <c r="C26" s="115">
        <v>271</v>
      </c>
      <c r="D26" s="116">
        <v>1053</v>
      </c>
      <c r="E26" s="117">
        <v>1324</v>
      </c>
      <c r="F26" s="21">
        <f t="shared" si="0"/>
        <v>1.2005150245724752E-2</v>
      </c>
    </row>
    <row r="27" spans="1:6" ht="14.25" customHeight="1">
      <c r="A27" s="105">
        <v>19</v>
      </c>
      <c r="B27" s="121" t="s">
        <v>75</v>
      </c>
      <c r="C27" s="115">
        <v>276</v>
      </c>
      <c r="D27" s="116">
        <v>92</v>
      </c>
      <c r="E27" s="117">
        <v>368</v>
      </c>
      <c r="F27" s="21">
        <f t="shared" si="0"/>
        <v>3.3367789202618644E-3</v>
      </c>
    </row>
    <row r="28" spans="1:6" ht="14.25" customHeight="1">
      <c r="A28" s="105">
        <v>20</v>
      </c>
      <c r="B28" s="121" t="s">
        <v>76</v>
      </c>
      <c r="C28" s="115">
        <v>6</v>
      </c>
      <c r="D28" s="116">
        <v>4</v>
      </c>
      <c r="E28" s="117">
        <v>10</v>
      </c>
      <c r="F28" s="21">
        <f t="shared" si="0"/>
        <v>9.0673340224507195E-5</v>
      </c>
    </row>
    <row r="29" spans="1:6" ht="14.25" customHeight="1">
      <c r="A29" s="105">
        <v>21</v>
      </c>
      <c r="B29" s="121" t="s">
        <v>13</v>
      </c>
      <c r="C29" s="115">
        <v>5371</v>
      </c>
      <c r="D29" s="116">
        <v>255</v>
      </c>
      <c r="E29" s="117">
        <v>5626</v>
      </c>
      <c r="F29" s="21">
        <f t="shared" si="0"/>
        <v>5.1012821210307743E-2</v>
      </c>
    </row>
    <row r="30" spans="1:6" ht="14.25" customHeight="1">
      <c r="A30" s="105">
        <v>22</v>
      </c>
      <c r="B30" s="121" t="s">
        <v>77</v>
      </c>
      <c r="C30" s="115">
        <v>1350</v>
      </c>
      <c r="D30" s="116">
        <v>23</v>
      </c>
      <c r="E30" s="117">
        <v>1373</v>
      </c>
      <c r="F30" s="21">
        <f t="shared" si="0"/>
        <v>1.2449449612824837E-2</v>
      </c>
    </row>
    <row r="31" spans="1:6" ht="14.25" customHeight="1">
      <c r="A31" s="105">
        <v>23</v>
      </c>
      <c r="B31" s="121" t="s">
        <v>78</v>
      </c>
      <c r="C31" s="115">
        <v>197</v>
      </c>
      <c r="D31" s="116">
        <v>89</v>
      </c>
      <c r="E31" s="117">
        <v>286</v>
      </c>
      <c r="F31" s="21">
        <f t="shared" si="0"/>
        <v>2.5932575304209058E-3</v>
      </c>
    </row>
    <row r="32" spans="1:6" ht="14.25" customHeight="1">
      <c r="A32" s="105">
        <v>24</v>
      </c>
      <c r="B32" s="121" t="s">
        <v>79</v>
      </c>
      <c r="C32" s="115">
        <v>10</v>
      </c>
      <c r="D32" s="116">
        <v>2</v>
      </c>
      <c r="E32" s="117">
        <v>12</v>
      </c>
      <c r="F32" s="21">
        <f t="shared" si="0"/>
        <v>1.0880800826940863E-4</v>
      </c>
    </row>
    <row r="33" spans="1:7" ht="14.25" customHeight="1">
      <c r="A33" s="105">
        <v>25</v>
      </c>
      <c r="B33" s="121" t="s">
        <v>80</v>
      </c>
      <c r="C33" s="115">
        <v>214</v>
      </c>
      <c r="D33" s="116">
        <v>317</v>
      </c>
      <c r="E33" s="117">
        <v>531</v>
      </c>
      <c r="F33" s="21">
        <f t="shared" si="0"/>
        <v>4.8147543659213315E-3</v>
      </c>
    </row>
    <row r="34" spans="1:7" ht="14.25" customHeight="1">
      <c r="A34" s="105">
        <v>26</v>
      </c>
      <c r="B34" s="121" t="s">
        <v>81</v>
      </c>
      <c r="C34" s="115">
        <v>9212</v>
      </c>
      <c r="D34" s="116">
        <v>244</v>
      </c>
      <c r="E34" s="117">
        <v>9456</v>
      </c>
      <c r="F34" s="21">
        <f t="shared" si="0"/>
        <v>8.5740710516294005E-2</v>
      </c>
    </row>
    <row r="35" spans="1:7" ht="14.25" customHeight="1">
      <c r="A35" s="105">
        <v>27</v>
      </c>
      <c r="B35" s="121" t="s">
        <v>82</v>
      </c>
      <c r="C35" s="115">
        <v>1006</v>
      </c>
      <c r="D35" s="116">
        <v>231</v>
      </c>
      <c r="E35" s="117">
        <v>1237</v>
      </c>
      <c r="F35" s="21">
        <f t="shared" si="0"/>
        <v>1.121629218577154E-2</v>
      </c>
    </row>
    <row r="36" spans="1:7" ht="14.25" customHeight="1">
      <c r="A36" s="105">
        <v>28</v>
      </c>
      <c r="B36" s="121" t="s">
        <v>83</v>
      </c>
      <c r="C36" s="115">
        <v>30</v>
      </c>
      <c r="D36" s="116">
        <v>1</v>
      </c>
      <c r="E36" s="117">
        <v>31</v>
      </c>
      <c r="F36" s="21">
        <f t="shared" si="0"/>
        <v>2.8108735469597231E-4</v>
      </c>
    </row>
    <row r="37" spans="1:7" ht="14.25" customHeight="1">
      <c r="A37" s="105">
        <v>29</v>
      </c>
      <c r="B37" s="121" t="s">
        <v>84</v>
      </c>
      <c r="C37" s="115">
        <v>4601</v>
      </c>
      <c r="D37" s="116">
        <v>937</v>
      </c>
      <c r="E37" s="117">
        <v>5538</v>
      </c>
      <c r="F37" s="21">
        <f t="shared" si="0"/>
        <v>5.0214895816332081E-2</v>
      </c>
    </row>
    <row r="38" spans="1:7" ht="14.25" customHeight="1">
      <c r="A38" s="105">
        <v>30</v>
      </c>
      <c r="B38" s="121" t="s">
        <v>85</v>
      </c>
      <c r="C38" s="115">
        <v>751</v>
      </c>
      <c r="D38" s="116">
        <v>467</v>
      </c>
      <c r="E38" s="117">
        <v>1218</v>
      </c>
      <c r="F38" s="21">
        <f t="shared" si="0"/>
        <v>1.1044012839344976E-2</v>
      </c>
    </row>
    <row r="39" spans="1:7" ht="14.25" customHeight="1">
      <c r="A39" s="105">
        <v>31</v>
      </c>
      <c r="B39" s="121" t="s">
        <v>86</v>
      </c>
      <c r="C39" s="115">
        <v>2942</v>
      </c>
      <c r="D39" s="116">
        <v>205</v>
      </c>
      <c r="E39" s="117">
        <v>3147</v>
      </c>
      <c r="F39" s="21">
        <f t="shared" si="0"/>
        <v>2.8534900168652413E-2</v>
      </c>
    </row>
    <row r="40" spans="1:7" ht="14.25" customHeight="1">
      <c r="A40" s="105">
        <v>32</v>
      </c>
      <c r="B40" s="121" t="s">
        <v>87</v>
      </c>
      <c r="C40" s="115">
        <v>1802</v>
      </c>
      <c r="D40" s="116">
        <v>185</v>
      </c>
      <c r="E40" s="117">
        <v>1987</v>
      </c>
      <c r="F40" s="21">
        <f t="shared" si="0"/>
        <v>1.8016792702609578E-2</v>
      </c>
    </row>
    <row r="41" spans="1:7" ht="14.25" customHeight="1">
      <c r="A41" s="105">
        <v>33</v>
      </c>
      <c r="B41" s="121" t="s">
        <v>88</v>
      </c>
      <c r="C41" s="115"/>
      <c r="D41" s="116">
        <v>13</v>
      </c>
      <c r="E41" s="117">
        <v>13</v>
      </c>
      <c r="F41" s="21">
        <f t="shared" si="0"/>
        <v>1.1787534229185935E-4</v>
      </c>
    </row>
    <row r="42" spans="1:7" ht="14.25" customHeight="1">
      <c r="A42" s="105">
        <v>34</v>
      </c>
      <c r="B42" s="121" t="s">
        <v>55</v>
      </c>
      <c r="C42" s="115">
        <v>3479</v>
      </c>
      <c r="D42" s="116">
        <v>113</v>
      </c>
      <c r="E42" s="117">
        <v>3592</v>
      </c>
      <c r="F42" s="21">
        <f t="shared" si="0"/>
        <v>3.2569863808642983E-2</v>
      </c>
    </row>
    <row r="43" spans="1:7" ht="14.25" customHeight="1">
      <c r="A43" s="105">
        <v>35</v>
      </c>
      <c r="B43" s="121" t="s">
        <v>89</v>
      </c>
      <c r="C43" s="115">
        <v>8038</v>
      </c>
      <c r="D43" s="116">
        <v>162</v>
      </c>
      <c r="E43" s="117">
        <v>8200</v>
      </c>
      <c r="F43" s="21">
        <f t="shared" si="0"/>
        <v>7.43521389840959E-2</v>
      </c>
    </row>
    <row r="44" spans="1:7" ht="15">
      <c r="A44" s="105">
        <v>36</v>
      </c>
      <c r="B44" s="121" t="s">
        <v>90</v>
      </c>
      <c r="C44" s="115">
        <v>6178</v>
      </c>
      <c r="D44" s="116">
        <v>214</v>
      </c>
      <c r="E44" s="117">
        <v>6392</v>
      </c>
      <c r="F44" s="21">
        <f t="shared" si="0"/>
        <v>5.7958399071504997E-2</v>
      </c>
    </row>
    <row r="45" spans="1:7" ht="15">
      <c r="A45" s="105">
        <v>37</v>
      </c>
      <c r="B45" s="121" t="s">
        <v>91</v>
      </c>
      <c r="C45" s="115">
        <v>623</v>
      </c>
      <c r="D45" s="116">
        <v>116</v>
      </c>
      <c r="E45" s="117">
        <v>739</v>
      </c>
      <c r="F45" s="21">
        <f t="shared" si="0"/>
        <v>6.7007598425910817E-3</v>
      </c>
      <c r="G45" s="109"/>
    </row>
    <row r="46" spans="1:7" ht="15">
      <c r="A46" s="105">
        <v>38</v>
      </c>
      <c r="B46" s="121" t="s">
        <v>93</v>
      </c>
      <c r="C46" s="115">
        <v>39</v>
      </c>
      <c r="D46" s="116">
        <v>16</v>
      </c>
      <c r="E46" s="117">
        <v>55</v>
      </c>
      <c r="F46" s="21">
        <f t="shared" si="0"/>
        <v>4.9870337123478952E-4</v>
      </c>
    </row>
    <row r="47" spans="1:7" ht="15">
      <c r="A47" s="105">
        <v>39</v>
      </c>
      <c r="B47" s="121" t="s">
        <v>92</v>
      </c>
      <c r="C47" s="115">
        <v>2304</v>
      </c>
      <c r="D47" s="116">
        <v>357</v>
      </c>
      <c r="E47" s="117">
        <v>2661</v>
      </c>
      <c r="F47" s="21">
        <f t="shared" si="0"/>
        <v>2.4128175833741362E-2</v>
      </c>
    </row>
    <row r="48" spans="1:7">
      <c r="A48" s="105"/>
      <c r="B48" s="108" t="s">
        <v>59</v>
      </c>
      <c r="C48" s="118">
        <v>90384</v>
      </c>
      <c r="D48" s="119">
        <v>19902</v>
      </c>
      <c r="E48" s="120">
        <v>110286</v>
      </c>
      <c r="F48" s="21">
        <f>SUM(F9:F47)</f>
        <v>1.0000000000000002</v>
      </c>
    </row>
    <row r="49" spans="1:10">
      <c r="A49" s="106"/>
    </row>
    <row r="50" spans="1:10">
      <c r="A50" s="1" t="s">
        <v>23</v>
      </c>
      <c r="B50" s="103"/>
    </row>
    <row r="51" spans="1:10">
      <c r="A51" s="1" t="s">
        <v>22</v>
      </c>
      <c r="J51" s="104"/>
    </row>
    <row r="52" spans="1:10">
      <c r="A52" s="1" t="s">
        <v>18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F49" sqref="F49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2" t="s">
        <v>56</v>
      </c>
      <c r="B2" s="122"/>
      <c r="C2" s="122"/>
      <c r="D2" s="122"/>
      <c r="E2" s="122"/>
      <c r="F2" s="122"/>
      <c r="G2" s="122"/>
      <c r="H2" s="122"/>
      <c r="I2" s="25"/>
    </row>
    <row r="3" spans="1:9" s="8" customFormat="1" ht="18" customHeight="1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February 28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>
      <c r="A13" s="39" t="s">
        <v>44</v>
      </c>
      <c r="B13" s="42">
        <f>REC_programs_detail!B23</f>
        <v>3411</v>
      </c>
      <c r="C13" s="43">
        <f>IF(B13=0,0,B13/'Summary Load Customers '!$B$22)</f>
        <v>1.1332753018412817E-2</v>
      </c>
      <c r="D13" s="42">
        <f>REC_programs_detail!C23</f>
        <v>39</v>
      </c>
      <c r="E13" s="43">
        <f>IF(D13=0,0,D13/('Summary Load Customers '!$D$22+'Summary Load Customers '!$F$22))</f>
        <v>1.024670922992039E-3</v>
      </c>
      <c r="F13" s="42">
        <f>B13+D13</f>
        <v>3450</v>
      </c>
      <c r="G13" s="43">
        <f>IF(F13=0,0,F13/'Summary Load Customers '!$H$22)</f>
        <v>1.0175580376761924E-2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3,450 of UI's customers, or 1.0%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>
      <c r="A20" s="39" t="s">
        <v>45</v>
      </c>
      <c r="B20" s="42">
        <f>REC_programs_detail!B29</f>
        <v>634</v>
      </c>
      <c r="C20" s="43">
        <f>IF(B20=0,0,B20/'Summary Load Customers '!$B$22)</f>
        <v>2.106410264929266E-3</v>
      </c>
      <c r="D20" s="42">
        <f>REC_programs_detail!C29</f>
        <v>59</v>
      </c>
      <c r="E20" s="43">
        <f>IF(D20=0,0,D20/('Summary Load Customers '!$D$22+'Summary Load Customers '!$F$22))</f>
        <v>1.5501431911930847E-3</v>
      </c>
      <c r="F20" s="42">
        <f>B20+D20</f>
        <v>693</v>
      </c>
      <c r="G20" s="43">
        <f>IF(F20=0,0,F20/'Summary Load Customers '!$H$22)</f>
        <v>2.0439644061147864E-3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0,693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4.25">
      <c r="A27" s="39" t="s">
        <v>46</v>
      </c>
      <c r="B27" s="42">
        <f>B13+B20</f>
        <v>4045</v>
      </c>
      <c r="C27" s="43">
        <f>IF(B27=0,0,B27/'Summary Load Customers '!$B$22)</f>
        <v>1.3439163283342083E-2</v>
      </c>
      <c r="D27" s="42">
        <f>D13+D20</f>
        <v>98</v>
      </c>
      <c r="E27" s="43">
        <f>IF(D27=0,0,D27/('Summary Load Customers '!$D$22+'Summary Load Customers '!$F$22))</f>
        <v>2.574814114185124E-3</v>
      </c>
      <c r="F27" s="42">
        <f>B27+D27</f>
        <v>4143</v>
      </c>
      <c r="G27" s="43">
        <f>IF(F27=0,0,F27/'Summary Load Customers '!$H$22)</f>
        <v>1.221954478287671E-2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4,143 of UI's customers, or 1.2% are participating in the combined REC programs.</v>
      </c>
      <c r="G29" s="49"/>
      <c r="H29" s="27"/>
    </row>
    <row r="31" spans="1:9" ht="13.5">
      <c r="A31" s="66" t="s">
        <v>32</v>
      </c>
    </row>
    <row r="32" spans="1:9" ht="13.5">
      <c r="A32" s="66"/>
    </row>
    <row r="33" spans="1:1" ht="13.5">
      <c r="A33" s="66" t="s">
        <v>54</v>
      </c>
    </row>
    <row r="34" spans="1:1">
      <c r="A34" s="67" t="s">
        <v>52</v>
      </c>
    </row>
    <row r="36" spans="1:1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B29" sqref="B29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3" t="str">
        <f>'Summary Load Customers '!A1</f>
        <v>The United Illuminating Company</v>
      </c>
      <c r="B1" s="123"/>
      <c r="C1" s="123"/>
      <c r="D1" s="123"/>
      <c r="E1" s="71"/>
      <c r="F1" s="71"/>
      <c r="G1" s="72"/>
    </row>
    <row r="2" spans="1:9" s="8" customFormat="1" ht="18" customHeight="1">
      <c r="A2" s="124" t="s">
        <v>56</v>
      </c>
      <c r="B2" s="124"/>
      <c r="C2" s="124"/>
      <c r="D2" s="124"/>
      <c r="E2" s="23"/>
      <c r="F2" s="23"/>
      <c r="G2" s="24"/>
      <c r="H2" s="25"/>
      <c r="I2" s="25"/>
    </row>
    <row r="3" spans="1:9" s="73" customFormat="1" ht="15" customHeight="1">
      <c r="A3" s="123" t="s">
        <v>35</v>
      </c>
      <c r="B3" s="123"/>
      <c r="C3" s="123"/>
      <c r="D3" s="123"/>
      <c r="E3" s="71"/>
      <c r="F3" s="71"/>
      <c r="G3" s="72"/>
    </row>
    <row r="4" spans="1:9" s="73" customFormat="1" ht="15" customHeight="1">
      <c r="A4" s="123" t="s">
        <v>2</v>
      </c>
      <c r="B4" s="123"/>
      <c r="C4" s="123"/>
      <c r="D4" s="123"/>
      <c r="E4" s="71"/>
      <c r="F4" s="71"/>
      <c r="G4" s="72"/>
    </row>
    <row r="5" spans="1:9" s="73" customFormat="1" ht="15" customHeight="1">
      <c r="A5" s="123" t="str">
        <f>'Summary Load Customers '!A6</f>
        <v>Data as of February 28 2019</v>
      </c>
      <c r="B5" s="123"/>
      <c r="C5" s="123"/>
      <c r="D5" s="123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15</v>
      </c>
      <c r="B9" s="84">
        <v>126</v>
      </c>
      <c r="C9" s="84">
        <v>2</v>
      </c>
      <c r="D9" s="85">
        <f>SUM(B9:C9)</f>
        <v>128</v>
      </c>
      <c r="E9" s="87"/>
      <c r="F9" s="87"/>
      <c r="G9" s="86"/>
      <c r="H9" s="75"/>
    </row>
    <row r="10" spans="1:9">
      <c r="A10" s="82" t="s">
        <v>16</v>
      </c>
      <c r="B10" s="84">
        <v>2800</v>
      </c>
      <c r="C10" s="84">
        <v>36</v>
      </c>
      <c r="D10" s="85">
        <f>SUM(B10:C10)</f>
        <v>2836</v>
      </c>
      <c r="E10" s="88"/>
      <c r="F10" s="89"/>
      <c r="G10" s="86"/>
      <c r="H10" s="75"/>
    </row>
    <row r="11" spans="1:9">
      <c r="A11" s="90" t="s">
        <v>7</v>
      </c>
      <c r="B11" s="91">
        <f>IF(B9+B10=0,0,B9+B10)</f>
        <v>2926</v>
      </c>
      <c r="C11" s="91">
        <f>IF(SUM(C8:C10)=0,0,SUM(C8:C10))</f>
        <v>38</v>
      </c>
      <c r="D11" s="91">
        <f>IF(SUM(D8:D10)=0,0,SUM(D8:D10))</f>
        <v>2964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15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>
      <c r="A16" s="82" t="s">
        <v>16</v>
      </c>
      <c r="B16" s="84">
        <v>483</v>
      </c>
      <c r="C16" s="84">
        <v>1</v>
      </c>
      <c r="D16" s="85">
        <f>SUM(B16:C16)</f>
        <v>484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485</v>
      </c>
      <c r="C17" s="91">
        <f>IF(SUM(C14:C16)=0,0,SUM(C14:C16))</f>
        <v>1</v>
      </c>
      <c r="D17" s="91">
        <f>IF(SUM(D14:D16)=0,0,SUM(D14:D16))</f>
        <v>486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15</v>
      </c>
      <c r="B21" s="96">
        <f>IF(B9+B15=0,0,B9+B15)</f>
        <v>128</v>
      </c>
      <c r="C21" s="96">
        <f>IF(C9+C15=0,0,C9+C15)</f>
        <v>2</v>
      </c>
      <c r="D21" s="85">
        <f t="shared" si="0"/>
        <v>130</v>
      </c>
      <c r="E21" s="86"/>
      <c r="F21" s="93"/>
      <c r="G21" s="93"/>
      <c r="H21" s="75"/>
    </row>
    <row r="22" spans="1:8">
      <c r="A22" s="82" t="s">
        <v>16</v>
      </c>
      <c r="B22" s="96">
        <f>IF(B10+B16=0,0,B10+B16)</f>
        <v>3283</v>
      </c>
      <c r="C22" s="96">
        <f>IF(C10+C16=0,0,C10+C16)</f>
        <v>37</v>
      </c>
      <c r="D22" s="85">
        <f>IF(D10+D16=0,0,D10+D16)</f>
        <v>3320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3411</v>
      </c>
      <c r="C23" s="91">
        <f>IF(SUM(C20:C22)=0,0,SUM(C20:C22))</f>
        <v>39</v>
      </c>
      <c r="D23" s="91">
        <f>SUM(D20:D22)</f>
        <v>3450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38</v>
      </c>
      <c r="B25" s="76" t="s">
        <v>5</v>
      </c>
      <c r="C25" s="76" t="s">
        <v>6</v>
      </c>
      <c r="D25" s="76" t="s">
        <v>33</v>
      </c>
    </row>
    <row r="26" spans="1:8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15</v>
      </c>
      <c r="B27" s="84">
        <v>186</v>
      </c>
      <c r="C27" s="84">
        <v>11</v>
      </c>
      <c r="D27" s="85">
        <f>SUM(B27:C27)</f>
        <v>197</v>
      </c>
    </row>
    <row r="28" spans="1:8">
      <c r="A28" s="82" t="s">
        <v>16</v>
      </c>
      <c r="B28" s="84">
        <v>448</v>
      </c>
      <c r="C28" s="84">
        <v>48</v>
      </c>
      <c r="D28" s="85">
        <f>SUM(B28:C28)</f>
        <v>496</v>
      </c>
    </row>
    <row r="29" spans="1:8">
      <c r="A29" s="90" t="str">
        <f>A23</f>
        <v>Total</v>
      </c>
      <c r="B29" s="110">
        <f>IF(B27+B28=0,0,B27+B28)</f>
        <v>634</v>
      </c>
      <c r="C29" s="91">
        <f>IF(SUM(C26:C28)=0,0,SUM(C26:C28))</f>
        <v>59</v>
      </c>
      <c r="D29" s="91">
        <f>IF(SUM(D26:D28)=0,0,SUM(D26:D28))</f>
        <v>693</v>
      </c>
    </row>
    <row r="31" spans="1:8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15</v>
      </c>
      <c r="B33" s="96">
        <f>B21+B27</f>
        <v>314</v>
      </c>
      <c r="C33" s="96">
        <f t="shared" si="1"/>
        <v>13</v>
      </c>
      <c r="D33" s="85">
        <f t="shared" si="1"/>
        <v>327</v>
      </c>
      <c r="E33" s="75"/>
      <c r="F33" s="75"/>
      <c r="G33" s="75"/>
    </row>
    <row r="34" spans="1:7">
      <c r="A34" s="82" t="s">
        <v>16</v>
      </c>
      <c r="B34" s="96">
        <f>B22+B28</f>
        <v>3731</v>
      </c>
      <c r="C34" s="96">
        <f t="shared" si="1"/>
        <v>85</v>
      </c>
      <c r="D34" s="85">
        <f t="shared" si="1"/>
        <v>3816</v>
      </c>
    </row>
    <row r="35" spans="1:7">
      <c r="A35" s="90" t="str">
        <f>A29</f>
        <v>Total</v>
      </c>
      <c r="B35" s="91">
        <f>IF(B33+B34=0,0,B33+B34)</f>
        <v>4045</v>
      </c>
      <c r="C35" s="91">
        <f>IF(SUM(C32:C34)=0,0,SUM(C32:C34))</f>
        <v>98</v>
      </c>
      <c r="D35" s="91">
        <f>SUM(D32:D34)</f>
        <v>4143</v>
      </c>
    </row>
    <row r="37" spans="1:7">
      <c r="A37" s="97" t="str">
        <f>"In summary, "&amp;TEXT($D$23,"0,000")&amp; " of UI's customers are participating in the CTCleanEnergyOptions Program"</f>
        <v>In summary, 3,450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693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4,143 of UI's customers are participating in all REC programs</v>
      </c>
    </row>
    <row r="41" spans="1:7">
      <c r="A41" s="98" t="s">
        <v>21</v>
      </c>
    </row>
    <row r="42" spans="1:7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2019-03-19T13:13:44Z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1385972520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