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D21" i="7"/>
  <c r="B21" i="7"/>
  <c r="F20" i="7"/>
  <c r="D20" i="7"/>
  <c r="B20" i="7"/>
  <c r="F12" i="7" l="1"/>
  <c r="F11" i="7"/>
  <c r="D12" i="7"/>
  <c r="D11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<sst xmlns="http://schemas.openxmlformats.org/spreadsheetml/2006/main" count="160" uniqueCount="94">
  <si>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</si>
  <si>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</si>
  <si>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</si>
  <si>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</si>
  <si>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</si>
  <si>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</si>
  <si>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</si>
  <si>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</si>
  <si>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</si>
  <si>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</si>
  <si>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</si>
  <si>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</si>
  <si>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</si>
  <si>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</si>
  <si>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</si>
  <si>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</si>
  <si>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</si>
  <si>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</si>
  <si>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</si>
  <si>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</si>
  <si>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</si>
  <si>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</si>
  <si>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</si>
  <si>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</si>
  <si>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</si>
  <si>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</si>
  <si>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</si>
  <si>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</si>
  <si>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</si>
  <si>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</si>
  <si>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</si>
  <si>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</si>
  <si>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</si>
  <si>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</si>
  <si>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</si>
  <si>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</si>
  <si>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</si>
  <si>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</si>
  <si>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</si>
  <si>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</si>
  <si>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</si>
  <si>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</si>
  <si>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</si>
  <si>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</si>
  <si>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</si>
  <si>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</si>
  <si>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</si>
  <si>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</si>
  <si>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</si>
  <si>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</si>
  <si>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</si>
  <si>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</si>
  <si>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</si>
  <si>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</si>
  <si>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</si>
  <si>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</si>
  <si>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</si>
  <si>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</si>
  <si>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</si>
  <si>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</si>
  <si>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</si>
  <si>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</si>
  <si>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</si>
  <si>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</si>
  <si>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</si>
  <si>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</si>
  <si>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</si>
  <si>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</si>
  <si>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</si>
  <si>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</si>
  <si>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</si>
  <si>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</si>
  <si>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</si>
  <si>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</si>
  <si>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</si>
  <si>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</si>
  <si>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</si>
  <si>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</si>
  <si>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</si>
  <si>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</si>
  <si>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</si>
  <si>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Perigee Energy, LLC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</si>
  <si>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</si>
  <si>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</si>
  <si>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</si>
  <si>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</si>
  <si>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</si>
  <si>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</si>
  <si>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</si>
  <si>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</si>
  <si>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</si>
  <si>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</si>
  <si>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Data as of March 31 2019</t>
  </si>
  <si>
    <t>Electric Suppliers - Customer Count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</si>
</sst>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21" fillId="0" borderId="11" xfId="0" applyNumberFormat="1" applyFont="1" applyFill="1" applyBorder="1"/>
    <xf numFmtId="0" fontId="21" fillId="0" borderId="12" xfId="0" applyNumberFormat="1" applyFont="1" applyFill="1" applyBorder="1"/>
    <xf numFmtId="0" fontId="21" fillId="0" borderId="13" xfId="0" applyNumberFormat="1" applyFont="1" applyFill="1" applyBorder="1"/>
    <xf numFmtId="0" fontId="21" fillId="0" borderId="14" xfId="0" applyNumberFormat="1" applyFont="1" applyFill="1" applyBorder="1"/>
    <xf numFmtId="0" fontId="21" fillId="0" borderId="0" xfId="0" applyNumberFormat="1" applyFont="1" applyFill="1" applyBorder="1"/>
    <xf numFmtId="0" fontId="21" fillId="0" borderId="15" xfId="0" applyNumberFormat="1" applyFont="1" applyFill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21" fillId="0" borderId="0" xfId="0" applyFont="1" applyFill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2_Marc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/201903_March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56136.777000000002</v>
          </cell>
        </row>
        <row r="25">
          <cell r="H25">
            <v>132368.61400000006</v>
          </cell>
        </row>
        <row r="26">
          <cell r="H26">
            <v>51600.626000000004</v>
          </cell>
        </row>
        <row r="29">
          <cell r="H29">
            <v>118072.465</v>
          </cell>
        </row>
        <row r="30">
          <cell r="H30">
            <v>51989.49</v>
          </cell>
        </row>
        <row r="31">
          <cell r="H31">
            <v>4579.3739999999998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90888</v>
          </cell>
        </row>
        <row r="19">
          <cell r="B19">
            <v>19717</v>
          </cell>
        </row>
        <row r="20">
          <cell r="B20">
            <v>217</v>
          </cell>
        </row>
        <row r="22">
          <cell r="B22">
            <v>209924</v>
          </cell>
        </row>
        <row r="23">
          <cell r="B23">
            <v>18067</v>
          </cell>
        </row>
        <row r="24">
          <cell r="B24">
            <v>24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/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56136.777000000002</v>
      </c>
      <c r="C11" s="40">
        <f>IF(B11=0,0,B11/$B$13)</f>
        <v>0.32223765143298194</v>
      </c>
      <c r="D11" s="68">
        <f>[1]Check!$H$25</f>
        <v>132368.61400000006</v>
      </c>
      <c r="E11" s="40">
        <f>IF(D11=0,0,D11/$D$13)</f>
        <v>0.71799726254507379</v>
      </c>
      <c r="F11" s="68">
        <f>[1]Check!$H$26</f>
        <v>51600.626000000004</v>
      </c>
      <c r="G11" s="40">
        <f>IF(F11=0,0,F11/$F$13)</f>
        <v>0.91848746885012467</v>
      </c>
      <c r="H11" s="41">
        <f>IF(B11+D11+F11=0,0,B11+D11+F11)</f>
        <v>240106.01700000005</v>
      </c>
      <c r="I11" s="40">
        <f>IF(H11=0,0,H11/$H$13)</f>
        <v>0.578921165658285</v>
      </c>
    </row>
    <row r="12" spans="1:15" ht="18" customHeight="1">
      <c r="A12" s="39" t="s">
        <v>11</v>
      </c>
      <c r="B12" s="69">
        <f>[1]Check!$H$29</f>
        <v>118072.465</v>
      </c>
      <c r="C12" s="40">
        <f>IF(B12=0,0,B12/$B$13)</f>
        <v>0.677762348567018</v>
      </c>
      <c r="D12" s="69">
        <f>[1]Check!$H$30</f>
        <v>51989.49</v>
      </c>
      <c r="E12" s="40">
        <f>IF(D12=0,0,D12/$D$13)</f>
        <v>0.28200273745492621</v>
      </c>
      <c r="F12" s="69">
        <f>[1]Check!$H$31</f>
        <v>4579.3739999999998</v>
      </c>
      <c r="G12" s="40">
        <f>IF(F12=0,0,F12/$F$13)</f>
        <v>8.1512531149875403E-2</v>
      </c>
      <c r="H12" s="102">
        <f>IF(B12+D12+F12=0,0,B12+D12+F12)</f>
        <v>174641.329</v>
      </c>
      <c r="I12" s="40">
        <f>IF(H12=0,0,H12/$H$13)</f>
        <v>0.42107883434171511</v>
      </c>
    </row>
    <row r="13" spans="1:15" ht="18" customHeight="1">
      <c r="A13" s="107" t="s">
        <v>6</v>
      </c>
      <c r="B13" s="42">
        <f>SUM(B11:B12)</f>
        <v>174209.242</v>
      </c>
      <c r="C13" s="43"/>
      <c r="D13" s="42">
        <f>SUM(D11:D12)</f>
        <v>184358.10400000005</v>
      </c>
      <c r="E13" s="43"/>
      <c r="F13" s="42">
        <f>SUM(F11:F12)</f>
        <v>56180</v>
      </c>
      <c r="G13" s="43"/>
      <c r="H13" s="42">
        <f>IF(H11+H12=0,0,H11+H12)</f>
        <v>414747.34600000002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240,106 MWh, or 57.9%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174,641 MHh, or 42.1%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90888</v>
      </c>
      <c r="C20" s="40">
        <f>IF(B20=0,0,B20/$B$22)</f>
        <v>0.30214220177386542</v>
      </c>
      <c r="D20" s="68">
        <f>[2]Summary!$B$19</f>
        <v>19717</v>
      </c>
      <c r="E20" s="53">
        <f>IF(D20=0,0,D20/$D$22)</f>
        <v>0.5218346390006352</v>
      </c>
      <c r="F20" s="68">
        <f>[2]Summary!$B$20</f>
        <v>217</v>
      </c>
      <c r="G20" s="40">
        <f>IF(F20=0,0,F20/$F$22)</f>
        <v>0.90041493775933612</v>
      </c>
      <c r="H20" s="41">
        <f>IF(B20+D20+F20=0,0,B20+D20+F20)</f>
        <v>110822</v>
      </c>
      <c r="I20" s="40">
        <f>IF(H20=0,0,H20/$H$22)</f>
        <v>0.32706581630695586</v>
      </c>
      <c r="J20" s="54"/>
      <c r="K20" s="54"/>
      <c r="M20" s="101"/>
    </row>
    <row r="21" spans="1:17" ht="18" customHeight="1">
      <c r="A21" s="39" t="str">
        <f>A12</f>
        <v>UI</v>
      </c>
      <c r="B21" s="69">
        <f>[2]Summary!$B$22</f>
        <v>209924</v>
      </c>
      <c r="C21" s="40">
        <f>IF(B21=0,0,B21/$B$22)</f>
        <v>0.69785779822613458</v>
      </c>
      <c r="D21" s="69">
        <f>[2]Summary!$B$23</f>
        <v>18067</v>
      </c>
      <c r="E21" s="53">
        <f>IF(D21=0,0,D21/$D$22)</f>
        <v>0.4781653609993648</v>
      </c>
      <c r="F21" s="69">
        <f>[2]Summary!$B$24</f>
        <v>24</v>
      </c>
      <c r="G21" s="40">
        <f>IF(F21=0,0,F21/$F$22)</f>
        <v>9.9585062240663894E-2</v>
      </c>
      <c r="H21" s="69">
        <f>IF(B21+D21+F21=0,0,B21+D21+F21)</f>
        <v>228015</v>
      </c>
      <c r="I21" s="40">
        <f>IF(H21=0,0,H21/$H$22)</f>
        <v>0.67293418369304414</v>
      </c>
    </row>
    <row r="22" spans="1:17" ht="18" customHeight="1">
      <c r="A22" s="39" t="str">
        <f>A13</f>
        <v>Total</v>
      </c>
      <c r="B22" s="42">
        <f>SUM(B20:B21)</f>
        <v>300812</v>
      </c>
      <c r="C22" s="55"/>
      <c r="D22" s="42">
        <f>SUM(D20:D21)</f>
        <v>37784</v>
      </c>
      <c r="E22" s="43"/>
      <c r="F22" s="42">
        <f>SUM(F20:F21)</f>
        <v>241</v>
      </c>
      <c r="G22" s="43"/>
      <c r="H22" s="42">
        <f>IF(H20+H21=0,0,H20+H21)</f>
        <v>338837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110,822 of UI's total customers, or 32.7%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228,015 or 67.3%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Zeros="0" topLeftCell="A16" zoomScaleNormal="100" workbookViewId="0">
      <selection activeCell="F46" sqref="F46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2" t="s">
        <v>55</v>
      </c>
      <c r="B2" s="122"/>
      <c r="C2" s="122"/>
      <c r="D2" s="122"/>
      <c r="E2" s="122"/>
      <c r="F2" s="122"/>
      <c r="G2" s="24"/>
      <c r="H2" s="25"/>
      <c r="I2" s="25"/>
    </row>
    <row r="3" spans="1:11" s="8" customFormat="1" ht="18" customHeight="1">
      <c r="A3" s="12" t="s">
        <v>93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March 31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s="121" t="s">
        <v>59</v>
      </c>
      <c r="C9" s="112">
        <v>181</v>
      </c>
      <c r="D9" s="113">
        <v>197</v>
      </c>
      <c r="E9" s="114">
        <v>378</v>
      </c>
      <c r="F9" s="21">
        <f>IF(E9=0,"",E9/$E$47)</f>
        <v>3.4109058752402523E-3</v>
      </c>
    </row>
    <row r="10" spans="1:11" ht="14.25" customHeight="1">
      <c r="A10" s="105">
        <v>2</v>
      </c>
      <c r="B10" s="121" t="s">
        <v>56</v>
      </c>
      <c r="C10" s="115">
        <v>558</v>
      </c>
      <c r="D10" s="116">
        <v>1116</v>
      </c>
      <c r="E10" s="117">
        <v>1674</v>
      </c>
      <c r="F10" s="21">
        <f>IF(E10=0,"",E10/$E$47)</f>
        <v>1.5105440304635403E-2</v>
      </c>
    </row>
    <row r="11" spans="1:11" ht="14.25" customHeight="1">
      <c r="A11" s="105">
        <v>3</v>
      </c>
      <c r="B11" s="121" t="s">
        <v>50</v>
      </c>
      <c r="C11" s="115">
        <v>10646</v>
      </c>
      <c r="D11" s="116">
        <v>846</v>
      </c>
      <c r="E11" s="117">
        <v>11492</v>
      </c>
      <c r="F11" s="21">
        <f>IF(E11=0,"",E11/$E$47)</f>
        <v>0.10369875745571688</v>
      </c>
    </row>
    <row r="12" spans="1:11" ht="14.25" customHeight="1">
      <c r="A12" s="105">
        <v>4</v>
      </c>
      <c r="B12" s="121" t="s">
        <v>60</v>
      </c>
      <c r="C12" s="115">
        <v>17</v>
      </c>
      <c r="D12" s="116">
        <v>3033</v>
      </c>
      <c r="E12" s="117">
        <v>3050</v>
      </c>
      <c r="F12" s="21">
        <f>IF(E12=0,"",E12/$E$47)</f>
        <v>2.7521859575351242E-2</v>
      </c>
    </row>
    <row r="13" spans="1:11" ht="14.25" customHeight="1">
      <c r="A13" s="105">
        <v>5</v>
      </c>
      <c r="B13" s="121" t="s">
        <v>61</v>
      </c>
      <c r="C13" s="115">
        <v>16</v>
      </c>
      <c r="D13" s="116">
        <v>173</v>
      </c>
      <c r="E13" s="117">
        <v>189</v>
      </c>
      <c r="F13" s="21">
        <f>IF(E13=0,"",E13/$E$47)</f>
        <v>1.7054529376201262E-3</v>
      </c>
    </row>
    <row r="14" spans="1:11" ht="14.25" customHeight="1">
      <c r="A14" s="105">
        <v>6</v>
      </c>
      <c r="B14" s="121" t="s">
        <v>62</v>
      </c>
      <c r="C14" s="115">
        <v>560</v>
      </c>
      <c r="D14" s="116">
        <v>13</v>
      </c>
      <c r="E14" s="117">
        <v>573</v>
      </c>
      <c r="F14" s="21">
        <f>IF(E14=0,"",E14/$E$47)</f>
        <v>5.1705001759594299E-3</v>
      </c>
    </row>
    <row r="15" spans="1:11" ht="14.25" customHeight="1">
      <c r="A15" s="105">
        <v>7</v>
      </c>
      <c r="B15" s="121" t="s">
        <v>63</v>
      </c>
      <c r="C15" s="115">
        <v>7955</v>
      </c>
      <c r="D15" s="116">
        <v>409</v>
      </c>
      <c r="E15" s="117">
        <v>8364</v>
      </c>
      <c r="F15" s="21">
        <f>IF(E15=0,"",E15/$E$47)</f>
        <v>7.5473060160077959E-2</v>
      </c>
    </row>
    <row r="16" spans="1:11" ht="14.25" customHeight="1">
      <c r="A16" s="105">
        <v>8</v>
      </c>
      <c r="B16" s="121" t="s">
        <v>64</v>
      </c>
      <c r="C16" s="115">
        <v>637</v>
      </c>
      <c r="D16" s="116">
        <v>100</v>
      </c>
      <c r="E16" s="117">
        <v>737</v>
      </c>
      <c r="F16" s="21">
        <f>IF(E16=0,"",E16/$E$47)</f>
        <v>6.6503641006668409E-3</v>
      </c>
    </row>
    <row r="17" spans="1:6" ht="14.25" customHeight="1">
      <c r="A17" s="105">
        <v>9</v>
      </c>
      <c r="B17" s="121" t="s">
        <v>65</v>
      </c>
      <c r="C17" s="115">
        <v>873</v>
      </c>
      <c r="D17" s="116">
        <v>4464</v>
      </c>
      <c r="E17" s="117">
        <v>5337</v>
      </c>
      <c r="F17" s="21">
        <f>IF(E17=0,"",E17/$E$47)</f>
        <v>4.8158742476606418E-2</v>
      </c>
    </row>
    <row r="18" spans="1:6" ht="14.25" customHeight="1">
      <c r="A18" s="105">
        <v>10</v>
      </c>
      <c r="B18" s="121" t="s">
        <v>66</v>
      </c>
      <c r="C18" s="115">
        <v>7538</v>
      </c>
      <c r="D18" s="116">
        <v>703</v>
      </c>
      <c r="E18" s="117">
        <v>8241</v>
      </c>
      <c r="F18" s="21">
        <f>IF(E18=0,"",E18/$E$47)</f>
        <v>7.4363162216547402E-2</v>
      </c>
    </row>
    <row r="19" spans="1:6" ht="14.25" customHeight="1">
      <c r="A19" s="105">
        <v>11</v>
      </c>
      <c r="B19" s="121" t="s">
        <v>57</v>
      </c>
      <c r="C19" s="115">
        <v>56</v>
      </c>
      <c r="D19" s="116">
        <v>1333</v>
      </c>
      <c r="E19" s="117">
        <v>1389</v>
      </c>
      <c r="F19" s="21">
        <f>IF(E19=0,"",E19/$E$47)</f>
        <v>1.2533725557430452E-2</v>
      </c>
    </row>
    <row r="20" spans="1:6" ht="14.25" customHeight="1">
      <c r="A20" s="105">
        <v>12</v>
      </c>
      <c r="B20" s="121" t="s">
        <v>67</v>
      </c>
      <c r="C20" s="115">
        <v>7300</v>
      </c>
      <c r="D20" s="116">
        <v>1997</v>
      </c>
      <c r="E20" s="117">
        <v>9297</v>
      </c>
      <c r="F20" s="21">
        <f>IF(E20=0,"",E20/$E$47)</f>
        <v>8.3892042121980495E-2</v>
      </c>
    </row>
    <row r="21" spans="1:6" ht="14.25" customHeight="1">
      <c r="A21" s="105">
        <v>13</v>
      </c>
      <c r="B21" s="121" t="s">
        <v>68</v>
      </c>
      <c r="C21" s="115">
        <v>4666</v>
      </c>
      <c r="D21" s="116">
        <v>281</v>
      </c>
      <c r="E21" s="117">
        <v>4947</v>
      </c>
      <c r="F21" s="21">
        <f>IF(E21=0,"",E21/$E$47)</f>
        <v>4.4639553875168062E-2</v>
      </c>
    </row>
    <row r="22" spans="1:6" ht="14.25" customHeight="1">
      <c r="A22" s="105">
        <v>14</v>
      </c>
      <c r="B22" s="121" t="s">
        <v>69</v>
      </c>
      <c r="C22" s="115"/>
      <c r="D22" s="116">
        <v>70</v>
      </c>
      <c r="E22" s="117">
        <v>70</v>
      </c>
      <c r="F22" s="21">
        <f>IF(E22=0,"",E22/$E$47)</f>
        <v>6.3164923615560231E-4</v>
      </c>
    </row>
    <row r="23" spans="1:6" ht="14.25" customHeight="1">
      <c r="A23" s="105">
        <v>15</v>
      </c>
      <c r="B23" s="121" t="s">
        <v>70</v>
      </c>
      <c r="C23" s="115">
        <v>4</v>
      </c>
      <c r="D23" s="116">
        <v>4</v>
      </c>
      <c r="E23" s="117">
        <v>8</v>
      </c>
      <c r="F23" s="21">
        <f>IF(E23=0,"",E23/$E$47)</f>
        <v>7.2188484132068833E-5</v>
      </c>
    </row>
    <row r="24" spans="1:6" ht="14.25" customHeight="1">
      <c r="A24" s="105">
        <v>16</v>
      </c>
      <c r="B24" s="121" t="s">
        <v>71</v>
      </c>
      <c r="C24" s="115">
        <v>476</v>
      </c>
      <c r="D24" s="116">
        <v>106</v>
      </c>
      <c r="E24" s="117">
        <v>582</v>
      </c>
      <c r="F24" s="21">
        <f>IF(E24=0,"",E24/$E$47)</f>
        <v>5.2517122206080071E-3</v>
      </c>
    </row>
    <row r="25" spans="1:6" ht="14.25" customHeight="1">
      <c r="A25" s="105">
        <v>17</v>
      </c>
      <c r="B25" s="121" t="s">
        <v>72</v>
      </c>
      <c r="C25" s="115">
        <v>16</v>
      </c>
      <c r="D25" s="116"/>
      <c r="E25" s="117">
        <v>16</v>
      </c>
      <c r="F25" s="21">
        <f>IF(E25=0,"",E25/$E$47)</f>
        <v>1.4437696826413767E-4</v>
      </c>
    </row>
    <row r="26" spans="1:6" ht="14.25" customHeight="1">
      <c r="A26" s="105">
        <v>18</v>
      </c>
      <c r="B26" s="121" t="s">
        <v>73</v>
      </c>
      <c r="C26" s="115">
        <v>288</v>
      </c>
      <c r="D26" s="116">
        <v>1055</v>
      </c>
      <c r="E26" s="117">
        <v>1343</v>
      </c>
      <c r="F26" s="21">
        <f>IF(E26=0,"",E26/$E$47)</f>
        <v>1.2118641773671055E-2</v>
      </c>
    </row>
    <row r="27" spans="1:6" ht="14.25" customHeight="1">
      <c r="A27" s="105">
        <v>19</v>
      </c>
      <c r="B27" s="121" t="s">
        <v>74</v>
      </c>
      <c r="C27" s="115">
        <v>276</v>
      </c>
      <c r="D27" s="116">
        <v>94</v>
      </c>
      <c r="E27" s="117">
        <v>370</v>
      </c>
      <c r="F27" s="21">
        <f>IF(E27=0,"",E27/$E$47)</f>
        <v>3.3387173911081833E-3</v>
      </c>
    </row>
    <row r="28" spans="1:6" ht="14.25" customHeight="1">
      <c r="A28" s="105">
        <v>20</v>
      </c>
      <c r="B28" s="121" t="s">
        <v>12</v>
      </c>
      <c r="C28" s="115">
        <v>5602</v>
      </c>
      <c r="D28" s="116">
        <v>292</v>
      </c>
      <c r="E28" s="117">
        <v>5894</v>
      </c>
      <c r="F28" s="21">
        <f>IF(E28=0,"",E28/$E$47)</f>
        <v>5.318486568430171E-2</v>
      </c>
    </row>
    <row r="29" spans="1:6" ht="14.25" customHeight="1">
      <c r="A29" s="105">
        <v>21</v>
      </c>
      <c r="B29" s="121" t="s">
        <v>75</v>
      </c>
      <c r="C29" s="115">
        <v>1278</v>
      </c>
      <c r="D29" s="116">
        <v>24</v>
      </c>
      <c r="E29" s="117">
        <v>1302</v>
      </c>
      <c r="F29" s="21">
        <f>IF(E29=0,"",E29/$E$47)</f>
        <v>1.1748675792494202E-2</v>
      </c>
    </row>
    <row r="30" spans="1:6" ht="14.25" customHeight="1">
      <c r="A30" s="105">
        <v>22</v>
      </c>
      <c r="B30" s="121" t="s">
        <v>76</v>
      </c>
      <c r="C30" s="115">
        <v>193</v>
      </c>
      <c r="D30" s="116">
        <v>86</v>
      </c>
      <c r="E30" s="117">
        <v>279</v>
      </c>
      <c r="F30" s="21">
        <f>IF(E30=0,"",E30/$E$47)</f>
        <v>2.5175733841059007E-3</v>
      </c>
    </row>
    <row r="31" spans="1:6" ht="14.25" customHeight="1">
      <c r="A31" s="105">
        <v>23</v>
      </c>
      <c r="B31" s="121" t="s">
        <v>77</v>
      </c>
      <c r="C31" s="115">
        <v>8</v>
      </c>
      <c r="D31" s="116">
        <v>2</v>
      </c>
      <c r="E31" s="117">
        <v>10</v>
      </c>
      <c r="F31" s="21">
        <f>IF(E31=0,"",E31/$E$47)</f>
        <v>9.0235605165086045E-5</v>
      </c>
    </row>
    <row r="32" spans="1:6" ht="14.25" customHeight="1">
      <c r="A32" s="105">
        <v>24</v>
      </c>
      <c r="B32" s="121" t="s">
        <v>78</v>
      </c>
      <c r="C32" s="115">
        <v>214</v>
      </c>
      <c r="D32" s="116">
        <v>320</v>
      </c>
      <c r="E32" s="117">
        <v>534</v>
      </c>
      <c r="F32" s="21">
        <f>IF(E32=0,"",E32/$E$47)</f>
        <v>4.8185813158155948E-3</v>
      </c>
    </row>
    <row r="33" spans="1:7" ht="14.25" customHeight="1">
      <c r="A33" s="105">
        <v>25</v>
      </c>
      <c r="B33" s="121" t="s">
        <v>79</v>
      </c>
      <c r="C33" s="115">
        <v>8886</v>
      </c>
      <c r="D33" s="116">
        <v>237</v>
      </c>
      <c r="E33" s="117">
        <v>9123</v>
      </c>
      <c r="F33" s="21">
        <f>IF(E33=0,"",E33/$E$47)</f>
        <v>8.2321942592107997E-2</v>
      </c>
    </row>
    <row r="34" spans="1:7" ht="14.25" customHeight="1">
      <c r="A34" s="105">
        <v>26</v>
      </c>
      <c r="B34" s="121" t="s">
        <v>80</v>
      </c>
      <c r="C34" s="115">
        <v>990</v>
      </c>
      <c r="D34" s="116">
        <v>225</v>
      </c>
      <c r="E34" s="117">
        <v>1215</v>
      </c>
      <c r="F34" s="21">
        <f>IF(E34=0,"",E34/$E$47)</f>
        <v>1.0963626027557953E-2</v>
      </c>
    </row>
    <row r="35" spans="1:7" ht="14.25" customHeight="1">
      <c r="A35" s="105">
        <v>27</v>
      </c>
      <c r="B35" s="121" t="s">
        <v>81</v>
      </c>
      <c r="C35" s="115">
        <v>6</v>
      </c>
      <c r="D35" s="116"/>
      <c r="E35" s="117">
        <v>6</v>
      </c>
      <c r="F35" s="21">
        <f>IF(E35=0,"",E35/$E$47)</f>
        <v>5.4141363099051621E-5</v>
      </c>
    </row>
    <row r="36" spans="1:7" ht="14.25" customHeight="1">
      <c r="A36" s="105">
        <v>28</v>
      </c>
      <c r="B36" s="121" t="s">
        <v>82</v>
      </c>
      <c r="C36" s="115">
        <v>4622</v>
      </c>
      <c r="D36" s="116">
        <v>932</v>
      </c>
      <c r="E36" s="117">
        <v>5554</v>
      </c>
      <c r="F36" s="21">
        <f>IF(E36=0,"",E36/$E$47)</f>
        <v>5.0116855108688789E-2</v>
      </c>
    </row>
    <row r="37" spans="1:7" ht="14.25" customHeight="1">
      <c r="A37" s="105">
        <v>29</v>
      </c>
      <c r="B37" s="121" t="s">
        <v>83</v>
      </c>
      <c r="C37" s="115">
        <v>499</v>
      </c>
      <c r="D37" s="116">
        <v>321</v>
      </c>
      <c r="E37" s="117">
        <v>820</v>
      </c>
      <c r="F37" s="21">
        <f>IF(E37=0,"",E37/$E$47)</f>
        <v>7.399319623537055E-3</v>
      </c>
    </row>
    <row r="38" spans="1:7" ht="14.25" customHeight="1">
      <c r="A38" s="105">
        <v>30</v>
      </c>
      <c r="B38" s="121" t="s">
        <v>84</v>
      </c>
      <c r="C38" s="115">
        <v>2582</v>
      </c>
      <c r="D38" s="116">
        <v>195</v>
      </c>
      <c r="E38" s="117">
        <v>2777</v>
      </c>
      <c r="F38" s="21">
        <f>IF(E38=0,"",E38/$E$47)</f>
        <v>2.5058427554344394E-2</v>
      </c>
    </row>
    <row r="39" spans="1:7" ht="14.25" customHeight="1">
      <c r="A39" s="105">
        <v>31</v>
      </c>
      <c r="B39" s="121" t="s">
        <v>85</v>
      </c>
      <c r="C39" s="115">
        <v>1756</v>
      </c>
      <c r="D39" s="116">
        <v>161</v>
      </c>
      <c r="E39" s="117">
        <v>1917</v>
      </c>
      <c r="F39" s="21">
        <f>IF(E39=0,"",E39/$E$47)</f>
        <v>1.7298165510146995E-2</v>
      </c>
    </row>
    <row r="40" spans="1:7" ht="14.25" customHeight="1">
      <c r="A40" s="105">
        <v>32</v>
      </c>
      <c r="B40" s="121" t="s">
        <v>86</v>
      </c>
      <c r="C40" s="115"/>
      <c r="D40" s="116">
        <v>13</v>
      </c>
      <c r="E40" s="117">
        <v>13</v>
      </c>
      <c r="F40" s="21">
        <f>IF(E40=0,"",E40/$E$47)</f>
        <v>1.1730628671461186E-4</v>
      </c>
    </row>
    <row r="41" spans="1:7" ht="14.25" customHeight="1">
      <c r="A41" s="105">
        <v>33</v>
      </c>
      <c r="B41" s="121" t="s">
        <v>54</v>
      </c>
      <c r="C41" s="115">
        <v>3357</v>
      </c>
      <c r="D41" s="116">
        <v>112</v>
      </c>
      <c r="E41" s="117">
        <v>3469</v>
      </c>
      <c r="F41" s="21">
        <f>IF(E41=0,"",E41/$E$47)</f>
        <v>3.1302731431768351E-2</v>
      </c>
    </row>
    <row r="42" spans="1:7" ht="14.25" customHeight="1">
      <c r="A42" s="105">
        <v>34</v>
      </c>
      <c r="B42" s="121" t="s">
        <v>87</v>
      </c>
      <c r="C42" s="115">
        <v>9133</v>
      </c>
      <c r="D42" s="116">
        <v>190</v>
      </c>
      <c r="E42" s="117">
        <v>9323</v>
      </c>
      <c r="F42" s="21">
        <f>IF(E42=0,"",E42/$E$47)</f>
        <v>8.4126654695409711E-2</v>
      </c>
    </row>
    <row r="43" spans="1:7" ht="14.25" customHeight="1">
      <c r="A43" s="105">
        <v>35</v>
      </c>
      <c r="B43" s="121" t="s">
        <v>88</v>
      </c>
      <c r="C43" s="115">
        <v>6599</v>
      </c>
      <c r="D43" s="116">
        <v>336</v>
      </c>
      <c r="E43" s="117">
        <v>6935</v>
      </c>
      <c r="F43" s="21">
        <f>IF(E43=0,"",E43/$E$47)</f>
        <v>6.2578392181987172E-2</v>
      </c>
    </row>
    <row r="44" spans="1:7" ht="15">
      <c r="A44" s="105">
        <v>36</v>
      </c>
      <c r="B44" s="121" t="s">
        <v>89</v>
      </c>
      <c r="C44" s="115">
        <v>614</v>
      </c>
      <c r="D44" s="116">
        <v>107</v>
      </c>
      <c r="E44" s="117">
        <v>721</v>
      </c>
      <c r="F44" s="21">
        <f>IF(E44=0,"",E44/$E$47)</f>
        <v>6.5059871324027038E-3</v>
      </c>
    </row>
    <row r="45" spans="1:7" ht="15">
      <c r="A45" s="105">
        <v>37</v>
      </c>
      <c r="B45" s="121" t="s">
        <v>91</v>
      </c>
      <c r="C45" s="115">
        <v>39</v>
      </c>
      <c r="D45" s="116">
        <v>16</v>
      </c>
      <c r="E45" s="117">
        <v>55</v>
      </c>
      <c r="F45" s="21">
        <f>IF(E45=0,"",E45/$E$47)</f>
        <v>4.9629582840797319E-4</v>
      </c>
      <c r="G45" s="109"/>
    </row>
    <row r="46" spans="1:7" ht="15">
      <c r="A46" s="105">
        <v>38</v>
      </c>
      <c r="B46" s="121" t="s">
        <v>90</v>
      </c>
      <c r="C46" s="115">
        <v>2447</v>
      </c>
      <c r="D46" s="116">
        <v>370</v>
      </c>
      <c r="E46" s="117">
        <v>2817</v>
      </c>
      <c r="F46" s="21">
        <f>IF(E46=0,"",E46/$E$47)</f>
        <v>2.5419369975004737E-2</v>
      </c>
    </row>
    <row r="47" spans="1:7">
      <c r="A47" s="105"/>
      <c r="B47" s="108" t="s">
        <v>58</v>
      </c>
      <c r="C47" s="118">
        <v>90888</v>
      </c>
      <c r="D47" s="119">
        <v>19933</v>
      </c>
      <c r="E47" s="120">
        <v>110821</v>
      </c>
      <c r="F47" s="21">
        <f>SUM(F9:F46)</f>
        <v>0.99999999999999956</v>
      </c>
    </row>
    <row r="48" spans="1:7">
      <c r="A48" s="106"/>
    </row>
    <row r="49" spans="1:10">
      <c r="A49" s="1" t="s">
        <v>22</v>
      </c>
      <c r="B49" s="103"/>
    </row>
    <row r="50" spans="1:10">
      <c r="A50" s="1" t="s">
        <v>21</v>
      </c>
      <c r="J50" s="104"/>
    </row>
    <row r="51" spans="1:10">
      <c r="A51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2" t="s">
        <v>55</v>
      </c>
      <c r="B2" s="122"/>
      <c r="C2" s="122"/>
      <c r="D2" s="122"/>
      <c r="E2" s="122"/>
      <c r="F2" s="122"/>
      <c r="G2" s="122"/>
      <c r="H2" s="122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March 31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3401</v>
      </c>
      <c r="C13" s="43">
        <f>IF(B13=0,0,B13/'Summary Load Customers '!$B$22)</f>
        <v>1.1306064917622967E-2</v>
      </c>
      <c r="D13" s="42">
        <f>REC_programs_detail!C23</f>
        <v>39</v>
      </c>
      <c r="E13" s="43">
        <f>IF(D13=0,0,D13/('Summary Load Customers '!$D$22+'Summary Load Customers '!$F$22))</f>
        <v>1.0256410256410256E-3</v>
      </c>
      <c r="F13" s="42">
        <f>B13+D13</f>
        <v>3440</v>
      </c>
      <c r="G13" s="43">
        <f>IF(F13=0,0,F13/'Summary Load Customers '!$H$22)</f>
        <v>1.0152374150402701E-2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3,440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633</v>
      </c>
      <c r="C20" s="43">
        <f>IF(B20=0,0,B20/'Summary Load Customers '!$B$22)</f>
        <v>2.1043043495605229E-3</v>
      </c>
      <c r="D20" s="42">
        <f>REC_programs_detail!C29</f>
        <v>59</v>
      </c>
      <c r="E20" s="43">
        <f>IF(D20=0,0,D20/('Summary Load Customers '!$D$22+'Summary Load Customers '!$F$22))</f>
        <v>1.5516107823800131E-3</v>
      </c>
      <c r="F20" s="42">
        <f>B20+D20</f>
        <v>692</v>
      </c>
      <c r="G20" s="43">
        <f>IF(F20=0,0,F20/'Summary Load Customers '!$H$22)</f>
        <v>2.0422799163019385E-3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0,692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4034</v>
      </c>
      <c r="C27" s="43">
        <f>IF(B27=0,0,B27/'Summary Load Customers '!$B$22)</f>
        <v>1.3410369267183491E-2</v>
      </c>
      <c r="D27" s="42">
        <f>D13+D20</f>
        <v>98</v>
      </c>
      <c r="E27" s="43">
        <f>IF(D27=0,0,D27/('Summary Load Customers '!$D$22+'Summary Load Customers '!$F$22))</f>
        <v>2.577251808021039E-3</v>
      </c>
      <c r="F27" s="42">
        <f>B27+D27</f>
        <v>4132</v>
      </c>
      <c r="G27" s="43">
        <f>IF(F27=0,0,F27/'Summary Load Customers '!$H$22)</f>
        <v>1.2194654066704639E-2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4,132 of UI's customers, or 1.2%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B16" sqref="B16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3" t="str">
        <f>'Summary Load Customers '!A1</f>
        <v>The United Illuminating Company</v>
      </c>
      <c r="B1" s="123"/>
      <c r="C1" s="123"/>
      <c r="D1" s="123"/>
      <c r="E1" s="71"/>
      <c r="F1" s="71"/>
      <c r="G1" s="72"/>
    </row>
    <row r="2" spans="1:9" s="8" customFormat="1" ht="18" customHeight="1">
      <c r="A2" s="124" t="s">
        <v>55</v>
      </c>
      <c r="B2" s="124"/>
      <c r="C2" s="124"/>
      <c r="D2" s="124"/>
      <c r="E2" s="23"/>
      <c r="F2" s="23"/>
      <c r="G2" s="24"/>
      <c r="H2" s="25"/>
      <c r="I2" s="25"/>
    </row>
    <row r="3" spans="1:9" s="73" customFormat="1" ht="15" customHeight="1">
      <c r="A3" s="123" t="s">
        <v>34</v>
      </c>
      <c r="B3" s="123"/>
      <c r="C3" s="123"/>
      <c r="D3" s="123"/>
      <c r="E3" s="71"/>
      <c r="F3" s="71"/>
      <c r="G3" s="72"/>
    </row>
    <row r="4" spans="1:9" s="73" customFormat="1" ht="15" customHeight="1">
      <c r="A4" s="123" t="s">
        <v>1</v>
      </c>
      <c r="B4" s="123"/>
      <c r="C4" s="123"/>
      <c r="D4" s="123"/>
      <c r="E4" s="71"/>
      <c r="F4" s="71"/>
      <c r="G4" s="72"/>
    </row>
    <row r="5" spans="1:9" s="73" customFormat="1" ht="15" customHeight="1">
      <c r="A5" s="123" t="str">
        <f>'Summary Load Customers '!A6</f>
        <v>Data as of March 31 2019</v>
      </c>
      <c r="B5" s="123"/>
      <c r="C5" s="123"/>
      <c r="D5" s="123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126</v>
      </c>
      <c r="C9" s="84">
        <v>2</v>
      </c>
      <c r="D9" s="85">
        <f>SUM(B9:C9)</f>
        <v>128</v>
      </c>
      <c r="E9" s="87"/>
      <c r="F9" s="87"/>
      <c r="G9" s="86"/>
      <c r="H9" s="75"/>
    </row>
    <row r="10" spans="1:9">
      <c r="A10" s="82" t="s">
        <v>15</v>
      </c>
      <c r="B10" s="84">
        <v>2794</v>
      </c>
      <c r="C10" s="84">
        <v>36</v>
      </c>
      <c r="D10" s="85">
        <f>SUM(B10:C10)</f>
        <v>2830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2920</v>
      </c>
      <c r="C11" s="91">
        <f>IF(SUM(C8:C10)=0,0,SUM(C8:C10))</f>
        <v>38</v>
      </c>
      <c r="D11" s="91">
        <f>IF(SUM(D8:D10)=0,0,SUM(D8:D10))</f>
        <v>2958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479</v>
      </c>
      <c r="C16" s="84">
        <v>1</v>
      </c>
      <c r="D16" s="85">
        <f>SUM(B16:C16)</f>
        <v>480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481</v>
      </c>
      <c r="C17" s="91">
        <f>IF(SUM(C14:C16)=0,0,SUM(C14:C16))</f>
        <v>1</v>
      </c>
      <c r="D17" s="91">
        <f>IF(SUM(D14:D16)=0,0,SUM(D14:D16))</f>
        <v>482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128</v>
      </c>
      <c r="C21" s="96">
        <f>IF(C9+C15=0,0,C9+C15)</f>
        <v>2</v>
      </c>
      <c r="D21" s="85">
        <f t="shared" si="0"/>
        <v>130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3273</v>
      </c>
      <c r="C22" s="96">
        <f>IF(C10+C16=0,0,C10+C16)</f>
        <v>37</v>
      </c>
      <c r="D22" s="85">
        <f>IF(D10+D16=0,0,D10+D16)</f>
        <v>3310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3401</v>
      </c>
      <c r="C23" s="91">
        <f>IF(SUM(C20:C22)=0,0,SUM(C20:C22))</f>
        <v>39</v>
      </c>
      <c r="D23" s="91">
        <f>SUM(D20:D22)</f>
        <v>3440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186</v>
      </c>
      <c r="C27" s="84">
        <v>11</v>
      </c>
      <c r="D27" s="85">
        <f>SUM(B27:C27)</f>
        <v>197</v>
      </c>
    </row>
    <row r="28" spans="1:8">
      <c r="A28" s="82" t="s">
        <v>15</v>
      </c>
      <c r="B28" s="84">
        <v>447</v>
      </c>
      <c r="C28" s="84">
        <v>48</v>
      </c>
      <c r="D28" s="85">
        <f>SUM(B28:C28)</f>
        <v>495</v>
      </c>
    </row>
    <row r="29" spans="1:8">
      <c r="A29" s="90" t="str">
        <f>A23</f>
        <v>Total</v>
      </c>
      <c r="B29" s="110">
        <f>IF(B27+B28=0,0,B27+B28)</f>
        <v>633</v>
      </c>
      <c r="C29" s="91">
        <f>IF(SUM(C26:C28)=0,0,SUM(C26:C28))</f>
        <v>59</v>
      </c>
      <c r="D29" s="91">
        <f>IF(SUM(D26:D28)=0,0,SUM(D26:D28))</f>
        <v>692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314</v>
      </c>
      <c r="C33" s="96">
        <f t="shared" si="1"/>
        <v>13</v>
      </c>
      <c r="D33" s="85">
        <f t="shared" si="1"/>
        <v>327</v>
      </c>
      <c r="E33" s="75"/>
      <c r="F33" s="75"/>
      <c r="G33" s="75"/>
    </row>
    <row r="34" spans="1:7">
      <c r="A34" s="82" t="s">
        <v>15</v>
      </c>
      <c r="B34" s="96">
        <f>B22+B28</f>
        <v>3720</v>
      </c>
      <c r="C34" s="96">
        <f t="shared" si="1"/>
        <v>85</v>
      </c>
      <c r="D34" s="85">
        <f t="shared" si="1"/>
        <v>3805</v>
      </c>
    </row>
    <row r="35" spans="1:7">
      <c r="A35" s="90" t="str">
        <f>A29</f>
        <v>Total</v>
      </c>
      <c r="B35" s="91">
        <f>IF(B33+B34=0,0,B33+B34)</f>
        <v>4034</v>
      </c>
      <c r="C35" s="91">
        <f>IF(SUM(C32:C34)=0,0,SUM(C32:C34))</f>
        <v>98</v>
      </c>
      <c r="D35" s="91">
        <f>SUM(D32:D34)</f>
        <v>4132</v>
      </c>
    </row>
    <row r="37" spans="1:7">
      <c r="A37" s="97" t="str">
        <f>"In summary, "&amp;TEXT($D$23,"0,000")&amp; " of UI's customers are participating in the CTCleanEnergyOptions Program"</f>
        <v>In summary, 3,440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692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4,132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2019-04-15T17:16:42Z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553212556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