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B12" i="7" l="1"/>
  <c r="B11" i="7"/>
  <c r="D12" i="7"/>
  <c r="F11" i="7"/>
  <c r="D11" i="7"/>
  <c r="F12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<sst xmlns="http://schemas.openxmlformats.org/spreadsheetml/2006/main" count="160" uniqueCount="94">
  <si>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</si>
  <si>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</si>
  <si>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</si>
  <si>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</si>
  <si>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</si>
  <si>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</si>
  <si>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</si>
  <si>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</si>
  <si>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</si>
  <si>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</si>
  <si>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</si>
  <si>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</si>
  <si>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</si>
  <si>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</si>
  <si>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</si>
  <si>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</si>
  <si>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</si>
  <si>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</si>
  <si>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</si>
  <si>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</si>
  <si>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</si>
  <si>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</si>
  <si>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</si>
  <si>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</si>
  <si>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</si>
  <si>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</si>
  <si>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</si>
  <si>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</si>
  <si>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</si>
  <si>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</si>
  <si>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</si>
  <si>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</si>
  <si>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</si>
  <si>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</si>
  <si>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</si>
  <si>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</si>
  <si>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</si>
  <si>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</si>
  <si>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</si>
  <si>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</si>
  <si>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</si>
  <si>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</si>
  <si>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</si>
  <si>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</si>
  <si>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</si>
  <si>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</si>
  <si>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</si>
  <si>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</si>
  <si>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</si>
  <si>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</si>
  <si>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</si>
  <si>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</si>
  <si>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</si>
  <si>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</si>
  <si>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</si>
  <si>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</si>
  <si>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</si>
  <si>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</si>
  <si>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</si>
  <si>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</si>
  <si>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</si>
  <si>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</si>
  <si>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</si>
  <si>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</si>
  <si>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</si>
  <si>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</si>
  <si>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</si>
  <si>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</si>
  <si>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</si>
  <si>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</si>
  <si>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</si>
  <si>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</si>
  <si>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</si>
  <si>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</si>
  <si>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</si>
  <si>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</si>
  <si>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</si>
  <si>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</si>
  <si>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</si>
  <si>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</si>
  <si>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</si>
  <si>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</si>
  <si>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</si>
  <si>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</si>
  <si>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</si>
  <si>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</si>
  <si>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</si>
  <si>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</si>
  <si>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</si>
  <si>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</si>
  <si>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</si>
  <si>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</si>
  <si>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</si>
  <si>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April 30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</si>
</sst>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1" fillId="0" borderId="0" xfId="0" applyFont="1" applyFill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4_April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9/201904_April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43545.801999999996</v>
          </cell>
        </row>
        <row r="25">
          <cell r="H25">
            <v>101979.37099999994</v>
          </cell>
        </row>
        <row r="26">
          <cell r="H26">
            <v>72296.925000000003</v>
          </cell>
        </row>
        <row r="29">
          <cell r="H29">
            <v>89655.590999999986</v>
          </cell>
        </row>
        <row r="30">
          <cell r="H30">
            <v>44129.092000000004</v>
          </cell>
        </row>
        <row r="31">
          <cell r="H31">
            <v>5436.6980000000003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91279</v>
          </cell>
        </row>
        <row r="19">
          <cell r="B19">
            <v>19695</v>
          </cell>
        </row>
        <row r="20">
          <cell r="B20">
            <v>216</v>
          </cell>
        </row>
        <row r="22">
          <cell r="B22">
            <v>209481</v>
          </cell>
        </row>
        <row r="23">
          <cell r="B23">
            <v>18066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93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>
      <c r="A11" s="39" t="s">
        <v>10</v>
      </c>
      <c r="B11" s="68">
        <f>[1]Check!$H$24</f>
        <v>43545.801999999996</v>
      </c>
      <c r="C11" s="40">
        <f>IF(B11=0,0,B11/$B$13)</f>
        <v>0.32691701655102062</v>
      </c>
      <c r="D11" s="68">
        <f>[1]Check!$H$25</f>
        <v>101979.37099999994</v>
      </c>
      <c r="E11" s="40">
        <f>IF(D11=0,0,D11/$D$13)</f>
        <v>0.69797032222561939</v>
      </c>
      <c r="F11" s="68">
        <f>[1]Check!$H$26</f>
        <v>72296.925000000003</v>
      </c>
      <c r="G11" s="40">
        <f>IF(F11=0,0,F11/$F$13)</f>
        <v>0.9300598918437134</v>
      </c>
      <c r="H11" s="41">
        <f>IF(B11+D11+F11=0,0,B11+D11+F11)</f>
        <v>217822.09799999994</v>
      </c>
      <c r="I11" s="40">
        <f>IF(H11=0,0,H11/$H$13)</f>
        <v>0.61007163220029004</v>
      </c>
    </row>
    <row r="12" spans="1:15" ht="18" customHeight="1">
      <c r="A12" s="39" t="s">
        <v>11</v>
      </c>
      <c r="B12" s="69">
        <f>[1]Check!$H$29</f>
        <v>89655.590999999986</v>
      </c>
      <c r="C12" s="40">
        <f>IF(B12=0,0,B12/$B$13)</f>
        <v>0.67308298344897943</v>
      </c>
      <c r="D12" s="69">
        <f>[1]Check!$H$30</f>
        <v>44129.092000000004</v>
      </c>
      <c r="E12" s="40">
        <f>IF(D12=0,0,D12/$D$13)</f>
        <v>0.30202967777438072</v>
      </c>
      <c r="F12" s="69">
        <f>[1]Check!$H$31</f>
        <v>5436.6980000000003</v>
      </c>
      <c r="G12" s="40">
        <f>IF(F12=0,0,F12/$F$13)</f>
        <v>6.9940108156286498E-2</v>
      </c>
      <c r="H12" s="102">
        <f>IF(B12+D12+F12=0,0,B12+D12+F12)</f>
        <v>139221.38099999999</v>
      </c>
      <c r="I12" s="40">
        <f>IF(H12=0,0,H12/$H$13)</f>
        <v>0.38992836779970996</v>
      </c>
    </row>
    <row r="13" spans="1:15" ht="18" customHeight="1">
      <c r="A13" s="107" t="s">
        <v>6</v>
      </c>
      <c r="B13" s="42">
        <f>SUM(B11:B12)</f>
        <v>133201.39299999998</v>
      </c>
      <c r="C13" s="43"/>
      <c r="D13" s="42">
        <f>SUM(D11:D12)</f>
        <v>146108.46299999993</v>
      </c>
      <c r="E13" s="43"/>
      <c r="F13" s="42">
        <f>SUM(F11:F12)</f>
        <v>77733.623000000007</v>
      </c>
      <c r="G13" s="43"/>
      <c r="H13" s="42">
        <f>IF(H11+H12=0,0,H11+H12)</f>
        <v>357043.47899999993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217,822 MWh, or 61.0%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139,221 MHh, or 39.0%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>
      <c r="A20" s="39" t="str">
        <f>A11</f>
        <v>Suppliers</v>
      </c>
      <c r="B20" s="68">
        <f>[2]Summary!$B$18</f>
        <v>91279</v>
      </c>
      <c r="C20" s="40">
        <f>IF(B20=0,0,B20/$B$22)</f>
        <v>0.30349448064902246</v>
      </c>
      <c r="D20" s="68">
        <f>[2]Summary!$B$19</f>
        <v>19695</v>
      </c>
      <c r="E20" s="53">
        <f>IF(D20=0,0,D20/$D$22)</f>
        <v>0.52156987367919283</v>
      </c>
      <c r="F20" s="68">
        <f>[2]Summary!$B$20</f>
        <v>216</v>
      </c>
      <c r="G20" s="40">
        <f>IF(F20=0,0,F20/$F$22)</f>
        <v>0.9</v>
      </c>
      <c r="H20" s="41">
        <f>IF(B20+D20+F20=0,0,B20+D20+F20)</f>
        <v>111190</v>
      </c>
      <c r="I20" s="40">
        <f>IF(H20=0,0,H20/$H$22)</f>
        <v>0.3282255041164715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209481</v>
      </c>
      <c r="C21" s="40">
        <f>IF(B21=0,0,B21/$B$22)</f>
        <v>0.69650551935097749</v>
      </c>
      <c r="D21" s="69">
        <f>[2]Summary!$B$23</f>
        <v>18066</v>
      </c>
      <c r="E21" s="53">
        <f>IF(D21=0,0,D21/$D$22)</f>
        <v>0.47843012632080717</v>
      </c>
      <c r="F21" s="69">
        <f>[2]Summary!$B$24</f>
        <v>24</v>
      </c>
      <c r="G21" s="40">
        <f>IF(F21=0,0,F21/$F$22)</f>
        <v>0.1</v>
      </c>
      <c r="H21" s="69">
        <f>IF(B21+D21+F21=0,0,B21+D21+F21)</f>
        <v>227571</v>
      </c>
      <c r="I21" s="40">
        <f>IF(H21=0,0,H21/$H$22)</f>
        <v>0.67177449588352856</v>
      </c>
    </row>
    <row r="22" spans="1:17" ht="18" customHeight="1">
      <c r="A22" s="39" t="str">
        <f>A13</f>
        <v>Total</v>
      </c>
      <c r="B22" s="42">
        <f>SUM(B20:B21)</f>
        <v>300760</v>
      </c>
      <c r="C22" s="55"/>
      <c r="D22" s="42">
        <f>SUM(D20:D21)</f>
        <v>37761</v>
      </c>
      <c r="E22" s="43"/>
      <c r="F22" s="42">
        <f>SUM(F20:F21)</f>
        <v>240</v>
      </c>
      <c r="G22" s="43"/>
      <c r="H22" s="42">
        <f>IF(H20+H21=0,0,H20+H21)</f>
        <v>338761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111,190 of UI's total customers, or 32.8%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227,571 or 67.2%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27</v>
      </c>
      <c r="I28" s="101"/>
    </row>
    <row r="29" spans="1:17" ht="13.5">
      <c r="A29" s="66" t="s">
        <v>31</v>
      </c>
    </row>
    <row r="30" spans="1:17" ht="13.5">
      <c r="A30" s="66" t="s">
        <v>49</v>
      </c>
    </row>
    <row r="31" spans="1:17">
      <c r="A31" s="67" t="s">
        <v>17</v>
      </c>
    </row>
    <row r="32" spans="1:17">
      <c r="A32" s="67" t="s">
        <v>23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showZeros="0" zoomScaleNormal="100" workbookViewId="0">
      <selection activeCell="B9" sqref="B9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2" t="s">
        <v>55</v>
      </c>
      <c r="B2" s="122"/>
      <c r="C2" s="122"/>
      <c r="D2" s="122"/>
      <c r="E2" s="122"/>
      <c r="F2" s="122"/>
      <c r="G2" s="24"/>
      <c r="H2" s="25"/>
      <c r="I2" s="25"/>
    </row>
    <row r="3" spans="1:11" s="8" customFormat="1" ht="18" customHeight="1">
      <c r="A3" s="12" t="s">
        <v>92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April 30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>
      <c r="A9" s="105">
        <v>1</v>
      </c>
      <c r="B9" s="121" t="s">
        <v>59</v>
      </c>
      <c r="C9" s="112">
        <v>160</v>
      </c>
      <c r="D9" s="113">
        <v>184</v>
      </c>
      <c r="E9" s="114">
        <v>344</v>
      </c>
      <c r="F9" s="21">
        <f t="shared" ref="F9:F46" si="0">IF(E9=0,"",E9/$E$47)</f>
        <v>3.0938312243117575E-3</v>
      </c>
    </row>
    <row r="10" spans="1:11" ht="14.25" customHeight="1">
      <c r="A10" s="105">
        <v>2</v>
      </c>
      <c r="B10" s="121" t="s">
        <v>56</v>
      </c>
      <c r="C10" s="115">
        <v>584</v>
      </c>
      <c r="D10" s="116">
        <v>1141</v>
      </c>
      <c r="E10" s="117">
        <v>1725</v>
      </c>
      <c r="F10" s="21">
        <f t="shared" si="0"/>
        <v>1.5514124598656342E-2</v>
      </c>
    </row>
    <row r="11" spans="1:11" ht="14.25" customHeight="1">
      <c r="A11" s="105">
        <v>3</v>
      </c>
      <c r="B11" s="121" t="s">
        <v>50</v>
      </c>
      <c r="C11" s="115">
        <v>10162</v>
      </c>
      <c r="D11" s="116">
        <v>844</v>
      </c>
      <c r="E11" s="117">
        <v>11006</v>
      </c>
      <c r="F11" s="21">
        <f t="shared" si="0"/>
        <v>9.8984611787137217E-2</v>
      </c>
    </row>
    <row r="12" spans="1:11" ht="14.25" customHeight="1">
      <c r="A12" s="105">
        <v>4</v>
      </c>
      <c r="B12" s="121" t="s">
        <v>60</v>
      </c>
      <c r="C12" s="115">
        <v>17</v>
      </c>
      <c r="D12" s="116">
        <v>3039</v>
      </c>
      <c r="E12" s="117">
        <v>3056</v>
      </c>
      <c r="F12" s="21">
        <f t="shared" si="0"/>
        <v>2.748473320202538E-2</v>
      </c>
    </row>
    <row r="13" spans="1:11" ht="14.25" customHeight="1">
      <c r="A13" s="105">
        <v>5</v>
      </c>
      <c r="B13" s="121" t="s">
        <v>61</v>
      </c>
      <c r="C13" s="115">
        <v>16</v>
      </c>
      <c r="D13" s="116">
        <v>173</v>
      </c>
      <c r="E13" s="117">
        <v>189</v>
      </c>
      <c r="F13" s="21">
        <f t="shared" si="0"/>
        <v>1.6998084342875644E-3</v>
      </c>
    </row>
    <row r="14" spans="1:11" ht="14.25" customHeight="1">
      <c r="A14" s="105">
        <v>6</v>
      </c>
      <c r="B14" s="121" t="s">
        <v>62</v>
      </c>
      <c r="C14" s="115">
        <v>553</v>
      </c>
      <c r="D14" s="116">
        <v>13</v>
      </c>
      <c r="E14" s="117">
        <v>566</v>
      </c>
      <c r="F14" s="21">
        <f t="shared" si="0"/>
        <v>5.090431607443182E-3</v>
      </c>
    </row>
    <row r="15" spans="1:11" ht="14.25" customHeight="1">
      <c r="A15" s="105">
        <v>7</v>
      </c>
      <c r="B15" s="121" t="s">
        <v>63</v>
      </c>
      <c r="C15" s="115">
        <v>7843</v>
      </c>
      <c r="D15" s="116">
        <v>370</v>
      </c>
      <c r="E15" s="117">
        <v>8213</v>
      </c>
      <c r="F15" s="21">
        <f t="shared" si="0"/>
        <v>7.3865220480443208E-2</v>
      </c>
    </row>
    <row r="16" spans="1:11" ht="14.25" customHeight="1">
      <c r="A16" s="105">
        <v>8</v>
      </c>
      <c r="B16" s="121" t="s">
        <v>64</v>
      </c>
      <c r="C16" s="115">
        <v>602</v>
      </c>
      <c r="D16" s="116">
        <v>96</v>
      </c>
      <c r="E16" s="117">
        <v>698</v>
      </c>
      <c r="F16" s="21">
        <f t="shared" si="0"/>
        <v>6.277599402818624E-3</v>
      </c>
    </row>
    <row r="17" spans="1:6" ht="14.25" customHeight="1">
      <c r="A17" s="105">
        <v>9</v>
      </c>
      <c r="B17" s="121" t="s">
        <v>65</v>
      </c>
      <c r="C17" s="115">
        <v>820</v>
      </c>
      <c r="D17" s="116">
        <v>4394</v>
      </c>
      <c r="E17" s="117">
        <v>5214</v>
      </c>
      <c r="F17" s="21">
        <f t="shared" si="0"/>
        <v>4.6893127917329955E-2</v>
      </c>
    </row>
    <row r="18" spans="1:6" ht="14.25" customHeight="1">
      <c r="A18" s="105">
        <v>10</v>
      </c>
      <c r="B18" s="121" t="s">
        <v>66</v>
      </c>
      <c r="C18" s="115">
        <v>7603</v>
      </c>
      <c r="D18" s="116">
        <v>736</v>
      </c>
      <c r="E18" s="117">
        <v>8339</v>
      </c>
      <c r="F18" s="21">
        <f t="shared" si="0"/>
        <v>7.4998426103301583E-2</v>
      </c>
    </row>
    <row r="19" spans="1:6" ht="14.25" customHeight="1">
      <c r="A19" s="105">
        <v>11</v>
      </c>
      <c r="B19" s="121" t="s">
        <v>57</v>
      </c>
      <c r="C19" s="115">
        <v>57</v>
      </c>
      <c r="D19" s="116">
        <v>1368</v>
      </c>
      <c r="E19" s="117">
        <v>1425</v>
      </c>
      <c r="F19" s="21">
        <f t="shared" si="0"/>
        <v>1.2816015972803066E-2</v>
      </c>
    </row>
    <row r="20" spans="1:6" ht="14.25" customHeight="1">
      <c r="A20" s="105">
        <v>12</v>
      </c>
      <c r="B20" s="121" t="s">
        <v>67</v>
      </c>
      <c r="C20" s="115">
        <v>7440</v>
      </c>
      <c r="D20" s="116">
        <v>1968</v>
      </c>
      <c r="E20" s="117">
        <v>9408</v>
      </c>
      <c r="F20" s="21">
        <f t="shared" si="0"/>
        <v>8.4612686506758766E-2</v>
      </c>
    </row>
    <row r="21" spans="1:6" ht="14.25" customHeight="1">
      <c r="A21" s="105">
        <v>13</v>
      </c>
      <c r="B21" s="121" t="s">
        <v>68</v>
      </c>
      <c r="C21" s="115">
        <v>4470</v>
      </c>
      <c r="D21" s="116">
        <v>277</v>
      </c>
      <c r="E21" s="117">
        <v>4747</v>
      </c>
      <c r="F21" s="21">
        <f t="shared" si="0"/>
        <v>4.2693072156418349E-2</v>
      </c>
    </row>
    <row r="22" spans="1:6" ht="14.25" customHeight="1">
      <c r="A22" s="105">
        <v>14</v>
      </c>
      <c r="B22" s="121" t="s">
        <v>69</v>
      </c>
      <c r="C22" s="115"/>
      <c r="D22" s="116">
        <v>70</v>
      </c>
      <c r="E22" s="117">
        <v>70</v>
      </c>
      <c r="F22" s="21">
        <f t="shared" si="0"/>
        <v>6.295586793657646E-4</v>
      </c>
    </row>
    <row r="23" spans="1:6" ht="14.25" customHeight="1">
      <c r="A23" s="105">
        <v>15</v>
      </c>
      <c r="B23" s="121" t="s">
        <v>70</v>
      </c>
      <c r="C23" s="115">
        <v>4</v>
      </c>
      <c r="D23" s="116">
        <v>4</v>
      </c>
      <c r="E23" s="117">
        <v>8</v>
      </c>
      <c r="F23" s="21">
        <f t="shared" si="0"/>
        <v>7.1949563356087378E-5</v>
      </c>
    </row>
    <row r="24" spans="1:6" ht="14.25" customHeight="1">
      <c r="A24" s="105">
        <v>16</v>
      </c>
      <c r="B24" s="121" t="s">
        <v>71</v>
      </c>
      <c r="C24" s="115">
        <v>466</v>
      </c>
      <c r="D24" s="116">
        <v>104</v>
      </c>
      <c r="E24" s="117">
        <v>570</v>
      </c>
      <c r="F24" s="21">
        <f t="shared" si="0"/>
        <v>5.1264063891212257E-3</v>
      </c>
    </row>
    <row r="25" spans="1:6" ht="14.25" customHeight="1">
      <c r="A25" s="105">
        <v>17</v>
      </c>
      <c r="B25" s="121" t="s">
        <v>72</v>
      </c>
      <c r="C25" s="115">
        <v>28</v>
      </c>
      <c r="D25" s="116"/>
      <c r="E25" s="117">
        <v>28</v>
      </c>
      <c r="F25" s="21">
        <f t="shared" si="0"/>
        <v>2.5182347174630584E-4</v>
      </c>
    </row>
    <row r="26" spans="1:6" ht="14.25" customHeight="1">
      <c r="A26" s="105">
        <v>18</v>
      </c>
      <c r="B26" s="121" t="s">
        <v>73</v>
      </c>
      <c r="C26" s="115">
        <v>304</v>
      </c>
      <c r="D26" s="116">
        <v>1085</v>
      </c>
      <c r="E26" s="117">
        <v>1389</v>
      </c>
      <c r="F26" s="21">
        <f t="shared" si="0"/>
        <v>1.2492242937700671E-2</v>
      </c>
    </row>
    <row r="27" spans="1:6" ht="14.25" customHeight="1">
      <c r="A27" s="105">
        <v>19</v>
      </c>
      <c r="B27" s="121" t="s">
        <v>74</v>
      </c>
      <c r="C27" s="115">
        <v>275</v>
      </c>
      <c r="D27" s="116">
        <v>94</v>
      </c>
      <c r="E27" s="117">
        <v>369</v>
      </c>
      <c r="F27" s="21">
        <f t="shared" si="0"/>
        <v>3.3186736097995306E-3</v>
      </c>
    </row>
    <row r="28" spans="1:6" ht="14.25" customHeight="1">
      <c r="A28" s="105">
        <v>20</v>
      </c>
      <c r="B28" s="121" t="s">
        <v>12</v>
      </c>
      <c r="C28" s="115">
        <v>6077</v>
      </c>
      <c r="D28" s="116">
        <v>330</v>
      </c>
      <c r="E28" s="117">
        <v>6407</v>
      </c>
      <c r="F28" s="21">
        <f t="shared" si="0"/>
        <v>5.7622606552806481E-2</v>
      </c>
    </row>
    <row r="29" spans="1:6" ht="14.25" customHeight="1">
      <c r="A29" s="105">
        <v>21</v>
      </c>
      <c r="B29" s="121" t="s">
        <v>75</v>
      </c>
      <c r="C29" s="115">
        <v>1214</v>
      </c>
      <c r="D29" s="116">
        <v>23</v>
      </c>
      <c r="E29" s="117">
        <v>1237</v>
      </c>
      <c r="F29" s="21">
        <f t="shared" si="0"/>
        <v>1.1125201233935011E-2</v>
      </c>
    </row>
    <row r="30" spans="1:6" ht="14.25" customHeight="1">
      <c r="A30" s="105">
        <v>22</v>
      </c>
      <c r="B30" s="121" t="s">
        <v>76</v>
      </c>
      <c r="C30" s="115">
        <v>192</v>
      </c>
      <c r="D30" s="116">
        <v>82</v>
      </c>
      <c r="E30" s="117">
        <v>274</v>
      </c>
      <c r="F30" s="21">
        <f t="shared" si="0"/>
        <v>2.4642725449459928E-3</v>
      </c>
    </row>
    <row r="31" spans="1:6" ht="14.25" customHeight="1">
      <c r="A31" s="105">
        <v>23</v>
      </c>
      <c r="B31" s="121" t="s">
        <v>77</v>
      </c>
      <c r="C31" s="115">
        <v>8</v>
      </c>
      <c r="D31" s="116">
        <v>1</v>
      </c>
      <c r="E31" s="117">
        <v>9</v>
      </c>
      <c r="F31" s="21">
        <f t="shared" si="0"/>
        <v>8.0943258775598308E-5</v>
      </c>
    </row>
    <row r="32" spans="1:6" ht="14.25" customHeight="1">
      <c r="A32" s="105">
        <v>24</v>
      </c>
      <c r="B32" s="121" t="s">
        <v>78</v>
      </c>
      <c r="C32" s="115">
        <v>214</v>
      </c>
      <c r="D32" s="116">
        <v>315</v>
      </c>
      <c r="E32" s="117">
        <v>529</v>
      </c>
      <c r="F32" s="21">
        <f t="shared" si="0"/>
        <v>4.7576648769212778E-3</v>
      </c>
    </row>
    <row r="33" spans="1:7" ht="14.25" customHeight="1">
      <c r="A33" s="105">
        <v>25</v>
      </c>
      <c r="B33" s="121" t="s">
        <v>79</v>
      </c>
      <c r="C33" s="115">
        <v>8695</v>
      </c>
      <c r="D33" s="116">
        <v>233</v>
      </c>
      <c r="E33" s="117">
        <v>8928</v>
      </c>
      <c r="F33" s="21">
        <f t="shared" si="0"/>
        <v>8.0295712705393513E-2</v>
      </c>
    </row>
    <row r="34" spans="1:7" ht="14.25" customHeight="1">
      <c r="A34" s="105">
        <v>26</v>
      </c>
      <c r="B34" s="121" t="s">
        <v>80</v>
      </c>
      <c r="C34" s="115">
        <v>980</v>
      </c>
      <c r="D34" s="116">
        <v>222</v>
      </c>
      <c r="E34" s="117">
        <v>1202</v>
      </c>
      <c r="F34" s="21">
        <f t="shared" si="0"/>
        <v>1.081042189425213E-2</v>
      </c>
    </row>
    <row r="35" spans="1:7" ht="14.25" customHeight="1">
      <c r="A35" s="105">
        <v>27</v>
      </c>
      <c r="B35" s="121" t="s">
        <v>81</v>
      </c>
      <c r="C35" s="115">
        <v>1</v>
      </c>
      <c r="D35" s="116"/>
      <c r="E35" s="117">
        <v>1</v>
      </c>
      <c r="F35" s="21">
        <f t="shared" si="0"/>
        <v>8.9936954195109222E-6</v>
      </c>
    </row>
    <row r="36" spans="1:7" ht="14.25" customHeight="1">
      <c r="A36" s="105">
        <v>28</v>
      </c>
      <c r="B36" s="121" t="s">
        <v>82</v>
      </c>
      <c r="C36" s="115">
        <v>4558</v>
      </c>
      <c r="D36" s="116">
        <v>920</v>
      </c>
      <c r="E36" s="117">
        <v>5478</v>
      </c>
      <c r="F36" s="21">
        <f t="shared" si="0"/>
        <v>4.9267463508080839E-2</v>
      </c>
    </row>
    <row r="37" spans="1:7" ht="14.25" customHeight="1">
      <c r="A37" s="105">
        <v>29</v>
      </c>
      <c r="B37" s="121" t="s">
        <v>83</v>
      </c>
      <c r="C37" s="115">
        <v>458</v>
      </c>
      <c r="D37" s="116">
        <v>126</v>
      </c>
      <c r="E37" s="117">
        <v>584</v>
      </c>
      <c r="F37" s="21">
        <f t="shared" si="0"/>
        <v>5.2523181249943792E-3</v>
      </c>
    </row>
    <row r="38" spans="1:7" ht="14.25" customHeight="1">
      <c r="A38" s="105">
        <v>30</v>
      </c>
      <c r="B38" s="121" t="s">
        <v>84</v>
      </c>
      <c r="C38" s="115">
        <v>2599</v>
      </c>
      <c r="D38" s="116">
        <v>196</v>
      </c>
      <c r="E38" s="117">
        <v>2795</v>
      </c>
      <c r="F38" s="21">
        <f t="shared" si="0"/>
        <v>2.513737869753303E-2</v>
      </c>
    </row>
    <row r="39" spans="1:7" ht="14.25" customHeight="1">
      <c r="A39" s="105">
        <v>31</v>
      </c>
      <c r="B39" s="121" t="s">
        <v>85</v>
      </c>
      <c r="C39" s="115">
        <v>1688</v>
      </c>
      <c r="D39" s="116">
        <v>154</v>
      </c>
      <c r="E39" s="117">
        <v>1842</v>
      </c>
      <c r="F39" s="21">
        <f t="shared" si="0"/>
        <v>1.656638696273912E-2</v>
      </c>
    </row>
    <row r="40" spans="1:7" ht="14.25" customHeight="1">
      <c r="A40" s="105">
        <v>32</v>
      </c>
      <c r="B40" s="121" t="s">
        <v>86</v>
      </c>
      <c r="C40" s="115"/>
      <c r="D40" s="116">
        <v>13</v>
      </c>
      <c r="E40" s="117">
        <v>13</v>
      </c>
      <c r="F40" s="21">
        <f t="shared" si="0"/>
        <v>1.1691804045364199E-4</v>
      </c>
    </row>
    <row r="41" spans="1:7" ht="14.25" customHeight="1">
      <c r="A41" s="105">
        <v>33</v>
      </c>
      <c r="B41" s="121" t="s">
        <v>54</v>
      </c>
      <c r="C41" s="115">
        <v>3269</v>
      </c>
      <c r="D41" s="116">
        <v>109</v>
      </c>
      <c r="E41" s="117">
        <v>3378</v>
      </c>
      <c r="F41" s="21">
        <f t="shared" si="0"/>
        <v>3.0380703127107899E-2</v>
      </c>
    </row>
    <row r="42" spans="1:7" ht="14.25" customHeight="1">
      <c r="A42" s="105">
        <v>34</v>
      </c>
      <c r="B42" s="121" t="s">
        <v>87</v>
      </c>
      <c r="C42" s="115">
        <v>10358</v>
      </c>
      <c r="D42" s="116">
        <v>218</v>
      </c>
      <c r="E42" s="117">
        <v>10576</v>
      </c>
      <c r="F42" s="21">
        <f t="shared" si="0"/>
        <v>9.5117322756747516E-2</v>
      </c>
    </row>
    <row r="43" spans="1:7" ht="14.25" customHeight="1">
      <c r="A43" s="105">
        <v>35</v>
      </c>
      <c r="B43" s="121" t="s">
        <v>88</v>
      </c>
      <c r="C43" s="115">
        <v>6352</v>
      </c>
      <c r="D43" s="116">
        <v>522</v>
      </c>
      <c r="E43" s="117">
        <v>6874</v>
      </c>
      <c r="F43" s="21">
        <f t="shared" si="0"/>
        <v>6.1822662313718087E-2</v>
      </c>
    </row>
    <row r="44" spans="1:7" ht="15">
      <c r="A44" s="105">
        <v>36</v>
      </c>
      <c r="B44" s="121" t="s">
        <v>89</v>
      </c>
      <c r="C44" s="115">
        <v>597</v>
      </c>
      <c r="D44" s="116">
        <v>104</v>
      </c>
      <c r="E44" s="117">
        <v>701</v>
      </c>
      <c r="F44" s="21">
        <f t="shared" si="0"/>
        <v>6.304580489077157E-3</v>
      </c>
    </row>
    <row r="45" spans="1:7" ht="15">
      <c r="A45" s="105">
        <v>37</v>
      </c>
      <c r="B45" s="121" t="s">
        <v>91</v>
      </c>
      <c r="C45" s="115">
        <v>39</v>
      </c>
      <c r="D45" s="116">
        <v>16</v>
      </c>
      <c r="E45" s="117">
        <v>55</v>
      </c>
      <c r="F45" s="21">
        <f t="shared" si="0"/>
        <v>4.9465324807310075E-4</v>
      </c>
      <c r="G45" s="109"/>
    </row>
    <row r="46" spans="1:7" ht="15">
      <c r="A46" s="105">
        <v>38</v>
      </c>
      <c r="B46" s="121" t="s">
        <v>90</v>
      </c>
      <c r="C46" s="115">
        <v>2576</v>
      </c>
      <c r="D46" s="116">
        <v>366</v>
      </c>
      <c r="E46" s="117">
        <v>2942</v>
      </c>
      <c r="F46" s="21">
        <f t="shared" si="0"/>
        <v>2.6459451924201134E-2</v>
      </c>
    </row>
    <row r="47" spans="1:7">
      <c r="A47" s="105"/>
      <c r="B47" s="108" t="s">
        <v>58</v>
      </c>
      <c r="C47" s="118">
        <v>91279</v>
      </c>
      <c r="D47" s="119">
        <v>19910</v>
      </c>
      <c r="E47" s="120">
        <v>111189</v>
      </c>
      <c r="F47" s="21">
        <f>SUM(F9:F46)</f>
        <v>1.0000000000000002</v>
      </c>
    </row>
    <row r="48" spans="1:7">
      <c r="A48" s="106"/>
    </row>
    <row r="49" spans="1:10">
      <c r="A49" s="1" t="s">
        <v>22</v>
      </c>
      <c r="B49" s="103"/>
    </row>
    <row r="50" spans="1:10">
      <c r="A50" s="1" t="s">
        <v>21</v>
      </c>
      <c r="J50" s="104"/>
    </row>
    <row r="51" spans="1:10">
      <c r="A51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2" t="s">
        <v>55</v>
      </c>
      <c r="B2" s="122"/>
      <c r="C2" s="122"/>
      <c r="D2" s="122"/>
      <c r="E2" s="122"/>
      <c r="F2" s="122"/>
      <c r="G2" s="122"/>
      <c r="H2" s="122"/>
      <c r="I2" s="25"/>
    </row>
    <row r="3" spans="1:9" s="8" customFormat="1" ht="18" customHeight="1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April 30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>
      <c r="A13" s="39" t="s">
        <v>43</v>
      </c>
      <c r="B13" s="42">
        <f>REC_programs_detail!B23</f>
        <v>3386</v>
      </c>
      <c r="C13" s="43">
        <f>IF(B13=0,0,B13/'Summary Load Customers '!$B$22)</f>
        <v>1.1258146030057188E-2</v>
      </c>
      <c r="D13" s="42">
        <f>REC_programs_detail!C23</f>
        <v>39</v>
      </c>
      <c r="E13" s="43">
        <f>IF(D13=0,0,D13/('Summary Load Customers '!$D$22+'Summary Load Customers '!$F$22))</f>
        <v>1.0262887818741611E-3</v>
      </c>
      <c r="F13" s="42">
        <f>B13+D13</f>
        <v>3425</v>
      </c>
      <c r="G13" s="43">
        <f>IF(F13=0,0,F13/'Summary Load Customers '!$H$22)</f>
        <v>1.0110372799702444E-2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3,425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>
      <c r="A20" s="39" t="s">
        <v>44</v>
      </c>
      <c r="B20" s="42">
        <f>REC_programs_detail!B29</f>
        <v>627</v>
      </c>
      <c r="C20" s="43">
        <f>IF(B20=0,0,B20/'Summary Load Customers '!$B$22)</f>
        <v>2.0847187125947598E-3</v>
      </c>
      <c r="D20" s="42">
        <f>REC_programs_detail!C29</f>
        <v>58</v>
      </c>
      <c r="E20" s="43">
        <f>IF(D20=0,0,D20/('Summary Load Customers '!$D$22+'Summary Load Customers '!$F$22))</f>
        <v>1.5262756243256757E-3</v>
      </c>
      <c r="F20" s="42">
        <f>B20+D20</f>
        <v>685</v>
      </c>
      <c r="G20" s="43">
        <f>IF(F20=0,0,F20/'Summary Load Customers '!$H$22)</f>
        <v>2.0220745599404889E-3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0,685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>
      <c r="A27" s="39" t="s">
        <v>45</v>
      </c>
      <c r="B27" s="42">
        <f>B13+B20</f>
        <v>4013</v>
      </c>
      <c r="C27" s="43">
        <f>IF(B27=0,0,B27/'Summary Load Customers '!$B$22)</f>
        <v>1.3342864742651948E-2</v>
      </c>
      <c r="D27" s="42">
        <f>D13+D20</f>
        <v>97</v>
      </c>
      <c r="E27" s="43">
        <f>IF(D27=0,0,D27/('Summary Load Customers '!$D$22+'Summary Load Customers '!$F$22))</f>
        <v>2.552564406199837E-3</v>
      </c>
      <c r="F27" s="42">
        <f>B27+D27</f>
        <v>4110</v>
      </c>
      <c r="G27" s="43">
        <f>IF(F27=0,0,F27/'Summary Load Customers '!$H$22)</f>
        <v>1.2132447359642935E-2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4,110 of UI's customers, or 1.2% are participating in the combined REC programs.</v>
      </c>
      <c r="G29" s="49"/>
      <c r="H29" s="27"/>
    </row>
    <row r="31" spans="1:9" ht="13.5">
      <c r="A31" s="66" t="s">
        <v>31</v>
      </c>
    </row>
    <row r="32" spans="1:9" ht="13.5">
      <c r="A32" s="66"/>
    </row>
    <row r="33" spans="1:1" ht="13.5">
      <c r="A33" s="66" t="s">
        <v>53</v>
      </c>
    </row>
    <row r="34" spans="1:1">
      <c r="A34" s="67" t="s">
        <v>51</v>
      </c>
    </row>
    <row r="36" spans="1:1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C9" sqref="C9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3" t="str">
        <f>'Summary Load Customers '!A1</f>
        <v>The United Illuminating Company</v>
      </c>
      <c r="B1" s="123"/>
      <c r="C1" s="123"/>
      <c r="D1" s="123"/>
      <c r="E1" s="71"/>
      <c r="F1" s="71"/>
      <c r="G1" s="72"/>
    </row>
    <row r="2" spans="1:9" s="8" customFormat="1" ht="18" customHeight="1">
      <c r="A2" s="124" t="s">
        <v>55</v>
      </c>
      <c r="B2" s="124"/>
      <c r="C2" s="124"/>
      <c r="D2" s="124"/>
      <c r="E2" s="23"/>
      <c r="F2" s="23"/>
      <c r="G2" s="24"/>
      <c r="H2" s="25"/>
      <c r="I2" s="25"/>
    </row>
    <row r="3" spans="1:9" s="73" customFormat="1" ht="15" customHeight="1">
      <c r="A3" s="123" t="s">
        <v>34</v>
      </c>
      <c r="B3" s="123"/>
      <c r="C3" s="123"/>
      <c r="D3" s="123"/>
      <c r="E3" s="71"/>
      <c r="F3" s="71"/>
      <c r="G3" s="72"/>
    </row>
    <row r="4" spans="1:9" s="73" customFormat="1" ht="15" customHeight="1">
      <c r="A4" s="123" t="s">
        <v>1</v>
      </c>
      <c r="B4" s="123"/>
      <c r="C4" s="123"/>
      <c r="D4" s="123"/>
      <c r="E4" s="71"/>
      <c r="F4" s="71"/>
      <c r="G4" s="72"/>
    </row>
    <row r="5" spans="1:9" s="73" customFormat="1" ht="15" customHeight="1">
      <c r="A5" s="123" t="str">
        <f>'Summary Load Customers '!A6</f>
        <v>Data as of April 30 2019</v>
      </c>
      <c r="B5" s="123"/>
      <c r="C5" s="123"/>
      <c r="D5" s="123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14</v>
      </c>
      <c r="B9" s="84">
        <v>126</v>
      </c>
      <c r="C9" s="84">
        <v>2</v>
      </c>
      <c r="D9" s="85">
        <f>SUM(B9:C9)</f>
        <v>128</v>
      </c>
      <c r="E9" s="87"/>
      <c r="F9" s="87"/>
      <c r="G9" s="86"/>
      <c r="H9" s="75"/>
    </row>
    <row r="10" spans="1:9">
      <c r="A10" s="82" t="s">
        <v>15</v>
      </c>
      <c r="B10" s="84">
        <v>2782</v>
      </c>
      <c r="C10" s="84">
        <v>36</v>
      </c>
      <c r="D10" s="85">
        <f>SUM(B10:C10)</f>
        <v>2818</v>
      </c>
      <c r="E10" s="88"/>
      <c r="F10" s="89"/>
      <c r="G10" s="86"/>
      <c r="H10" s="75"/>
    </row>
    <row r="11" spans="1:9">
      <c r="A11" s="90" t="s">
        <v>6</v>
      </c>
      <c r="B11" s="91">
        <f>IF(B9+B10=0,0,B9+B10)</f>
        <v>2908</v>
      </c>
      <c r="C11" s="91">
        <f>IF(SUM(C8:C10)=0,0,SUM(C8:C10))</f>
        <v>38</v>
      </c>
      <c r="D11" s="91">
        <f>IF(SUM(D8:D10)=0,0,SUM(D8:D10))</f>
        <v>2946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15</v>
      </c>
      <c r="B16" s="84">
        <v>476</v>
      </c>
      <c r="C16" s="84">
        <v>1</v>
      </c>
      <c r="D16" s="85">
        <f>SUM(B16:C16)</f>
        <v>477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478</v>
      </c>
      <c r="C17" s="91">
        <f>IF(SUM(C14:C16)=0,0,SUM(C14:C16))</f>
        <v>1</v>
      </c>
      <c r="D17" s="91">
        <f>IF(SUM(D14:D16)=0,0,SUM(D14:D16))</f>
        <v>479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14</v>
      </c>
      <c r="B21" s="96">
        <f>IF(B9+B15=0,0,B9+B15)</f>
        <v>128</v>
      </c>
      <c r="C21" s="96">
        <f>IF(C9+C15=0,0,C9+C15)</f>
        <v>2</v>
      </c>
      <c r="D21" s="85">
        <f t="shared" si="0"/>
        <v>130</v>
      </c>
      <c r="E21" s="86"/>
      <c r="F21" s="93"/>
      <c r="G21" s="93"/>
      <c r="H21" s="75"/>
    </row>
    <row r="22" spans="1:8">
      <c r="A22" s="82" t="s">
        <v>15</v>
      </c>
      <c r="B22" s="96">
        <f>IF(B10+B16=0,0,B10+B16)</f>
        <v>3258</v>
      </c>
      <c r="C22" s="96">
        <f>IF(C10+C16=0,0,C10+C16)</f>
        <v>37</v>
      </c>
      <c r="D22" s="85">
        <f>IF(D10+D16=0,0,D10+D16)</f>
        <v>3295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3386</v>
      </c>
      <c r="C23" s="91">
        <f>IF(SUM(C20:C22)=0,0,SUM(C20:C22))</f>
        <v>39</v>
      </c>
      <c r="D23" s="91">
        <f>SUM(D20:D22)</f>
        <v>3425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37</v>
      </c>
      <c r="B25" s="76" t="s">
        <v>4</v>
      </c>
      <c r="C25" s="76" t="s">
        <v>5</v>
      </c>
      <c r="D25" s="76" t="s">
        <v>32</v>
      </c>
    </row>
    <row r="26" spans="1:8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14</v>
      </c>
      <c r="B27" s="84">
        <v>184</v>
      </c>
      <c r="C27" s="84">
        <v>11</v>
      </c>
      <c r="D27" s="85">
        <f>SUM(B27:C27)</f>
        <v>195</v>
      </c>
    </row>
    <row r="28" spans="1:8">
      <c r="A28" s="82" t="s">
        <v>15</v>
      </c>
      <c r="B28" s="84">
        <v>443</v>
      </c>
      <c r="C28" s="84">
        <v>47</v>
      </c>
      <c r="D28" s="85">
        <f>SUM(B28:C28)</f>
        <v>490</v>
      </c>
    </row>
    <row r="29" spans="1:8">
      <c r="A29" s="90" t="str">
        <f>A23</f>
        <v>Total</v>
      </c>
      <c r="B29" s="110">
        <f>IF(B27+B28=0,0,B27+B28)</f>
        <v>627</v>
      </c>
      <c r="C29" s="91">
        <f>IF(SUM(C26:C28)=0,0,SUM(C26:C28))</f>
        <v>58</v>
      </c>
      <c r="D29" s="91">
        <f>IF(SUM(D26:D28)=0,0,SUM(D26:D28))</f>
        <v>685</v>
      </c>
    </row>
    <row r="31" spans="1:8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14</v>
      </c>
      <c r="B33" s="96">
        <f>B21+B27</f>
        <v>312</v>
      </c>
      <c r="C33" s="96">
        <f t="shared" si="1"/>
        <v>13</v>
      </c>
      <c r="D33" s="85">
        <f t="shared" si="1"/>
        <v>325</v>
      </c>
      <c r="E33" s="75"/>
      <c r="F33" s="75"/>
      <c r="G33" s="75"/>
    </row>
    <row r="34" spans="1:7">
      <c r="A34" s="82" t="s">
        <v>15</v>
      </c>
      <c r="B34" s="96">
        <f>B22+B28</f>
        <v>3701</v>
      </c>
      <c r="C34" s="96">
        <f t="shared" si="1"/>
        <v>84</v>
      </c>
      <c r="D34" s="85">
        <f t="shared" si="1"/>
        <v>3785</v>
      </c>
    </row>
    <row r="35" spans="1:7">
      <c r="A35" s="90" t="str">
        <f>A29</f>
        <v>Total</v>
      </c>
      <c r="B35" s="91">
        <f>IF(B33+B34=0,0,B33+B34)</f>
        <v>4013</v>
      </c>
      <c r="C35" s="91">
        <f>IF(SUM(C32:C34)=0,0,SUM(C32:C34))</f>
        <v>97</v>
      </c>
      <c r="D35" s="91">
        <f>SUM(D32:D34)</f>
        <v>4110</v>
      </c>
    </row>
    <row r="37" spans="1:7">
      <c r="A37" s="97" t="str">
        <f>"In summary, "&amp;TEXT($D$23,"0,000")&amp; " of UI's customers are participating in the CTCleanEnergyOptions Program"</f>
        <v>In summary, 3,425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685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4,110 of UI's customers are participating in all REC programs</v>
      </c>
    </row>
    <row r="41" spans="1:7">
      <c r="A41" s="98" t="s">
        <v>20</v>
      </c>
    </row>
    <row r="42" spans="1:7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2019-05-14T13:14:56Z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-1976342013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