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5" yWindow="2325" windowWidth="20190" windowHeight="4410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0" i="7" l="1"/>
  <c r="D20" i="7"/>
  <c r="F21" i="7"/>
  <c r="D21" i="7"/>
  <c r="B21" i="7"/>
  <c r="B20" i="7"/>
  <c r="F12" i="7"/>
  <c r="D12" i="7"/>
  <c r="B12" i="7"/>
  <c r="F11" i="7"/>
  <c r="D11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<sst xmlns="http://schemas.openxmlformats.org/spreadsheetml/2006/main" count="160" uniqueCount="94">
  <si>
    <t>The United Illuminating Company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</si>
  <si>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</si>
  <si>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</si>
  <si>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</si>
  <si>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</si>
  <si>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</si>
  <si>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</si>
  <si>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</si>
  <si>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</si>
  <si>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</si>
  <si>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</si>
  <si>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</si>
  <si>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</si>
  <si>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</si>
  <si>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</si>
  <si>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</si>
  <si>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</si>
  <si>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</si>
  <si>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</si>
  <si>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</si>
  <si>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</si>
  <si>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</si>
  <si>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</si>
  <si>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</si>
  <si>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</si>
  <si>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</si>
  <si>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</si>
  <si>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</si>
  <si>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</si>
  <si>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</si>
  <si>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</si>
  <si>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</si>
  <si>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</si>
  <si>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</si>
  <si>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</si>
  <si>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</si>
  <si>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</si>
  <si>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</si>
  <si>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</si>
  <si>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</si>
  <si>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</si>
  <si>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</si>
  <si>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</si>
  <si>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</si>
  <si>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</si>
  <si>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</si>
  <si>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</si>
  <si>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</si>
  <si>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</si>
  <si>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</si>
  <si>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</si>
  <si>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</si>
  <si>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</si>
  <si>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</si>
  <si>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</si>
  <si>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</si>
  <si>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</si>
  <si>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</si>
  <si>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</si>
  <si>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</si>
  <si>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</si>
  <si>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</si>
  <si>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</si>
  <si>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</si>
  <si>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</si>
  <si>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</si>
  <si>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</si>
  <si>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</si>
  <si>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</si>
  <si>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</si>
  <si>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</si>
  <si>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</si>
  <si>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</si>
  <si>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</si>
  <si>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</si>
  <si>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</si>
  <si>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</si>
  <si>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</si>
  <si>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</si>
  <si>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</si>
  <si>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</si>
  <si>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</si>
  <si>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</si>
  <si>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</si>
  <si>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</si>
  <si>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</si>
  <si>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</si>
  <si>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</si>
  <si>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</si>
  <si>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</si>
  <si>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</si>
  <si>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</si>
  <si>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</si>
  <si>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Data as of May 31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</si>
</sst>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13" xfId="0" applyNumberFormat="1" applyFont="1" applyFill="1" applyBorder="1"/>
    <xf numFmtId="0" fontId="21" fillId="0" borderId="14" xfId="0" applyNumberFormat="1" applyFont="1" applyFill="1" applyBorder="1"/>
    <xf numFmtId="0" fontId="21" fillId="0" borderId="0" xfId="0" applyNumberFormat="1" applyFont="1" applyFill="1" applyBorder="1"/>
    <xf numFmtId="0" fontId="21" fillId="0" borderId="15" xfId="0" applyNumberFormat="1" applyFont="1" applyFill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9_Total/2019_05_May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9/201905_May_2019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4">
          <cell r="H24">
            <v>43451.993000000017</v>
          </cell>
        </row>
        <row r="25">
          <cell r="H25">
            <v>137486.31299999991</v>
          </cell>
        </row>
        <row r="26">
          <cell r="H26">
            <v>50826.148000000001</v>
          </cell>
        </row>
        <row r="29">
          <cell r="H29">
            <v>88712.873000000021</v>
          </cell>
        </row>
        <row r="30">
          <cell r="H30">
            <v>43861.041999999994</v>
          </cell>
        </row>
        <row r="31">
          <cell r="H31">
            <v>5353.8519999999999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Check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91309</v>
          </cell>
        </row>
        <row r="19">
          <cell r="B19">
            <v>19795</v>
          </cell>
        </row>
        <row r="20">
          <cell r="B20">
            <v>213</v>
          </cell>
        </row>
        <row r="22">
          <cell r="B22">
            <v>209353</v>
          </cell>
        </row>
        <row r="23">
          <cell r="B23">
            <v>17914</v>
          </cell>
        </row>
        <row r="24">
          <cell r="B24">
            <v>24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/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6384" width="9.140625" style="2"/>
  </cols>
  <sheetData>
    <row r="1" spans="1:15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>
      <c r="A2" s="22" t="s">
        <v>55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>
      <c r="A3" s="22" t="s">
        <v>33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>
      <c r="A4" s="22" t="s">
        <v>26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>
      <c r="A6" s="111" t="s">
        <v>93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>
      <c r="A8" s="28" t="s">
        <v>29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>
      <c r="A9" s="2"/>
      <c r="B9" s="31" t="s">
        <v>30</v>
      </c>
      <c r="C9" s="32"/>
      <c r="D9" s="31" t="s">
        <v>7</v>
      </c>
      <c r="E9" s="33"/>
      <c r="F9" s="31" t="s">
        <v>8</v>
      </c>
      <c r="G9" s="34"/>
      <c r="H9" s="31" t="s">
        <v>32</v>
      </c>
      <c r="I9" s="33"/>
    </row>
    <row r="10" spans="1:15" ht="18" customHeight="1">
      <c r="A10" s="36"/>
      <c r="B10" s="37" t="s">
        <v>9</v>
      </c>
      <c r="C10" s="38" t="s">
        <v>19</v>
      </c>
      <c r="D10" s="37" t="str">
        <f>B10</f>
        <v>MWh</v>
      </c>
      <c r="E10" s="38" t="s">
        <v>19</v>
      </c>
      <c r="F10" s="37" t="str">
        <f>D10</f>
        <v>MWh</v>
      </c>
      <c r="G10" s="38" t="s">
        <v>19</v>
      </c>
      <c r="H10" s="37" t="str">
        <f>F10</f>
        <v>MWh</v>
      </c>
      <c r="I10" s="38" t="s">
        <v>18</v>
      </c>
    </row>
    <row r="11" spans="1:15" ht="18" customHeight="1">
      <c r="A11" s="39" t="s">
        <v>10</v>
      </c>
      <c r="B11" s="68">
        <f>[1]Check!$H$24</f>
        <v>43451.993000000017</v>
      </c>
      <c r="C11" s="40">
        <f>IF(B11=0,0,B11/$B$13)</f>
        <v>0.32877113498529936</v>
      </c>
      <c r="D11" s="68">
        <f>[1]Check!$H$25</f>
        <v>137486.31299999991</v>
      </c>
      <c r="E11" s="40">
        <f>IF(D11=0,0,D11/$D$13)</f>
        <v>0.75813795574796217</v>
      </c>
      <c r="F11" s="68">
        <f>[1]Check!$H$26</f>
        <v>50826.148000000001</v>
      </c>
      <c r="G11" s="40">
        <f>IF(F11=0,0,F11/$F$13)</f>
        <v>0.90470181559273766</v>
      </c>
      <c r="H11" s="41">
        <f>IF(B11+D11+F11=0,0,B11+D11+F11)</f>
        <v>231764.45399999991</v>
      </c>
      <c r="I11" s="40">
        <f>IF(H11=0,0,H11/$H$13)</f>
        <v>0.62691190356423532</v>
      </c>
    </row>
    <row r="12" spans="1:15" ht="18" customHeight="1">
      <c r="A12" s="39" t="s">
        <v>11</v>
      </c>
      <c r="B12" s="69">
        <f>[1]Check!$H$29</f>
        <v>88712.873000000021</v>
      </c>
      <c r="C12" s="40">
        <f>IF(B12=0,0,B12/$B$13)</f>
        <v>0.67122886501470058</v>
      </c>
      <c r="D12" s="69">
        <f>[1]Check!$H$30</f>
        <v>43861.041999999994</v>
      </c>
      <c r="E12" s="40">
        <f>IF(D12=0,0,D12/$D$13)</f>
        <v>0.24186204425203786</v>
      </c>
      <c r="F12" s="69">
        <f>[1]Check!$H$31</f>
        <v>5353.8519999999999</v>
      </c>
      <c r="G12" s="40">
        <f>IF(F12=0,0,F12/$F$13)</f>
        <v>9.5298184407262371E-2</v>
      </c>
      <c r="H12" s="102">
        <f>IF(B12+D12+F12=0,0,B12+D12+F12)</f>
        <v>137927.76700000002</v>
      </c>
      <c r="I12" s="40">
        <f>IF(H12=0,0,H12/$H$13)</f>
        <v>0.37308809643576474</v>
      </c>
    </row>
    <row r="13" spans="1:15" ht="18" customHeight="1">
      <c r="A13" s="107" t="s">
        <v>6</v>
      </c>
      <c r="B13" s="42">
        <f>SUM(B11:B12)</f>
        <v>132164.86600000004</v>
      </c>
      <c r="C13" s="43"/>
      <c r="D13" s="42">
        <f>SUM(D11:D12)</f>
        <v>181347.35499999989</v>
      </c>
      <c r="E13" s="43"/>
      <c r="F13" s="42">
        <f>SUM(F11:F12)</f>
        <v>56180</v>
      </c>
      <c r="G13" s="43"/>
      <c r="H13" s="42">
        <f>IF(H11+H12=0,0,H11+H12)</f>
        <v>369692.2209999999</v>
      </c>
      <c r="I13" s="44"/>
    </row>
    <row r="14" spans="1:15" ht="18" customHeight="1">
      <c r="A14" s="99" t="str">
        <f>"As the above table shows, "&amp;TEXT(H11,"0,000")&amp; " MWh, or "&amp;TEXT(I11,"0.0%")&amp;" of UI's total load is served by electric suppliers"</f>
        <v>As the above table shows, 231,764 MWh, or 62.7% of UI's total load is served by electric suppliers</v>
      </c>
      <c r="H14" s="27"/>
      <c r="L14" s="101"/>
      <c r="M14" s="101"/>
      <c r="O14" s="101"/>
    </row>
    <row r="15" spans="1:15" ht="18" customHeight="1">
      <c r="A15" s="99" t="str">
        <f>"while "&amp;TEXT(H12,"0,000")&amp;" MHh, or "&amp;TEXT(I12,"0.0%")&amp;" of the load is provided under Standard Service or Last Resort service through UI."</f>
        <v>while 137,928 MHh, or 37.3%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5">
      <c r="G16" s="49"/>
      <c r="H16" s="27"/>
    </row>
    <row r="17" spans="1:17" ht="18" customHeight="1">
      <c r="A17" s="28" t="s">
        <v>28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>
      <c r="A18" s="39"/>
      <c r="B18" s="31" t="s">
        <v>30</v>
      </c>
      <c r="C18" s="51"/>
      <c r="D18" s="31" t="s">
        <v>7</v>
      </c>
      <c r="E18" s="52"/>
      <c r="F18" s="31" t="s">
        <v>8</v>
      </c>
      <c r="G18" s="34"/>
      <c r="H18" s="31" t="s">
        <v>32</v>
      </c>
      <c r="I18" s="33"/>
      <c r="O18" s="100"/>
    </row>
    <row r="19" spans="1:17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D19</f>
        <v>Customers</v>
      </c>
      <c r="G19" s="38" t="s">
        <v>19</v>
      </c>
      <c r="H19" s="37" t="str">
        <f>F19</f>
        <v>Customers</v>
      </c>
      <c r="I19" s="38" t="s">
        <v>18</v>
      </c>
    </row>
    <row r="20" spans="1:17" ht="18" customHeight="1">
      <c r="A20" s="39" t="str">
        <f>A11</f>
        <v>Suppliers</v>
      </c>
      <c r="B20" s="68">
        <f>[2]Summary!$B$18</f>
        <v>91309</v>
      </c>
      <c r="C20" s="40">
        <f>IF(B20=0,0,B20/$B$22)</f>
        <v>0.30369318370795112</v>
      </c>
      <c r="D20" s="68">
        <f>[2]Summary!$B$19</f>
        <v>19795</v>
      </c>
      <c r="E20" s="53">
        <f>IF(D20=0,0,D20/$D$22)</f>
        <v>0.5249409955183113</v>
      </c>
      <c r="F20" s="68">
        <f>[2]Summary!$B$20</f>
        <v>213</v>
      </c>
      <c r="G20" s="40">
        <f>IF(F20=0,0,F20/$F$22)</f>
        <v>0.89873417721518989</v>
      </c>
      <c r="H20" s="41">
        <f>IF(B20+D20+F20=0,0,B20+D20+F20)</f>
        <v>111317</v>
      </c>
      <c r="I20" s="40">
        <f>IF(H20=0,0,H20/$H$22)</f>
        <v>0.32874887775835182</v>
      </c>
      <c r="J20" s="54"/>
      <c r="K20" s="54"/>
      <c r="M20" s="101"/>
    </row>
    <row r="21" spans="1:17" ht="18" customHeight="1">
      <c r="A21" s="39" t="str">
        <f>A12</f>
        <v>UI</v>
      </c>
      <c r="B21" s="69">
        <f>[2]Summary!$B$22</f>
        <v>209353</v>
      </c>
      <c r="C21" s="40">
        <f>IF(B21=0,0,B21/$B$22)</f>
        <v>0.69630681629204882</v>
      </c>
      <c r="D21" s="69">
        <f>[2]Summary!$B$23</f>
        <v>17914</v>
      </c>
      <c r="E21" s="53">
        <f>IF(D21=0,0,D21/$D$22)</f>
        <v>0.4750590044816887</v>
      </c>
      <c r="F21" s="69">
        <f>[2]Summary!$B$24</f>
        <v>24</v>
      </c>
      <c r="G21" s="40">
        <f>IF(F21=0,0,F21/$F$22)</f>
        <v>0.10126582278481013</v>
      </c>
      <c r="H21" s="69">
        <f>IF(B21+D21+F21=0,0,B21+D21+F21)</f>
        <v>227291</v>
      </c>
      <c r="I21" s="40">
        <f>IF(H21=0,0,H21/$H$22)</f>
        <v>0.67125112224164818</v>
      </c>
    </row>
    <row r="22" spans="1:17" ht="18" customHeight="1">
      <c r="A22" s="39" t="str">
        <f>A13</f>
        <v>Total</v>
      </c>
      <c r="B22" s="42">
        <f>SUM(B20:B21)</f>
        <v>300662</v>
      </c>
      <c r="C22" s="55"/>
      <c r="D22" s="42">
        <f>SUM(D20:D21)</f>
        <v>37709</v>
      </c>
      <c r="E22" s="43"/>
      <c r="F22" s="42">
        <f>SUM(F20:F21)</f>
        <v>237</v>
      </c>
      <c r="G22" s="43"/>
      <c r="H22" s="42">
        <f>IF(H20+H21=0,0,H20+H21)</f>
        <v>338608</v>
      </c>
      <c r="I22" s="44"/>
      <c r="N22" s="101"/>
      <c r="Q22" s="101"/>
    </row>
    <row r="23" spans="1:17" ht="18" customHeight="1">
      <c r="G23" s="49"/>
      <c r="H23" s="27"/>
    </row>
    <row r="24" spans="1:17" ht="18" customHeight="1">
      <c r="A24" s="99" t="str">
        <f>"As the above table shows, "&amp;TEXT(H20,"0,000")&amp; " of UI's total customers, or "&amp;TEXT(I20,"0.0%")&amp;" are served by electric suppliers"</f>
        <v>As the above table shows, 111,317 of UI's total customers, or 32.9% are served by electric suppliers</v>
      </c>
      <c r="G24" s="49"/>
      <c r="H24" s="27"/>
      <c r="J24" s="101"/>
    </row>
    <row r="25" spans="1:17" ht="18" customHeight="1">
      <c r="A25" s="99" t="str">
        <f>"while "&amp;TEXT(H21,"0,000")&amp;" or "&amp;TEXT(I21,"0.0%")&amp;" of the customers continue to receive Standard Service or Last Resort service through UI."</f>
        <v>while 227,291 or 67.1%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>
      <c r="B26" s="27"/>
      <c r="C26" s="27"/>
      <c r="D26" s="58"/>
      <c r="E26" s="58"/>
      <c r="F26" s="59"/>
      <c r="G26" s="59"/>
      <c r="H26" s="27"/>
    </row>
    <row r="28" spans="1:17" ht="13.5">
      <c r="A28" s="66" t="s">
        <v>27</v>
      </c>
      <c r="I28" s="101"/>
    </row>
    <row r="29" spans="1:17" ht="13.5">
      <c r="A29" s="66" t="s">
        <v>31</v>
      </c>
    </row>
    <row r="30" spans="1:17" ht="13.5">
      <c r="A30" s="66" t="s">
        <v>49</v>
      </c>
    </row>
    <row r="31" spans="1:17">
      <c r="A31" s="67" t="s">
        <v>17</v>
      </c>
    </row>
    <row r="32" spans="1:17">
      <c r="A32" s="67" t="s">
        <v>23</v>
      </c>
    </row>
    <row r="36" spans="1:1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showGridLines="0" showZeros="0" zoomScaleNormal="100" workbookViewId="0">
      <selection activeCell="F25" sqref="F25"/>
    </sheetView>
  </sheetViews>
  <sheetFormatPr defaultColWidth="9.140625" defaultRowHeight="12.75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2"/>
  </cols>
  <sheetData>
    <row r="1" spans="1:11" s="8" customFormat="1" ht="18" customHeight="1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>
      <c r="A2" s="121" t="s">
        <v>55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>
      <c r="A3" s="12" t="s">
        <v>92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>
      <c r="A4" s="12" t="s">
        <v>1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>
      <c r="A5" s="9" t="str">
        <f>'Summary Load Customers '!A6</f>
        <v>Data as of May 31 2019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>
      <c r="A6" s="15"/>
      <c r="B6" s="5"/>
      <c r="C6" s="16"/>
      <c r="D6" s="16"/>
      <c r="E6" s="10"/>
      <c r="F6" s="10"/>
    </row>
    <row r="7" spans="1:11" s="8" customFormat="1" ht="18" customHeight="1">
      <c r="A7" s="17"/>
      <c r="B7" s="18"/>
      <c r="C7" s="3" t="s">
        <v>2</v>
      </c>
      <c r="D7" s="11"/>
      <c r="E7" s="11"/>
      <c r="F7" s="19"/>
      <c r="G7" s="7"/>
      <c r="H7" s="7"/>
      <c r="I7" s="7"/>
      <c r="J7" s="7"/>
      <c r="K7" s="7"/>
    </row>
    <row r="8" spans="1:11" ht="25.5">
      <c r="A8" s="20"/>
      <c r="B8" s="4" t="s">
        <v>3</v>
      </c>
      <c r="C8" s="4" t="s">
        <v>4</v>
      </c>
      <c r="D8" s="4" t="s">
        <v>5</v>
      </c>
      <c r="E8" s="4" t="s">
        <v>6</v>
      </c>
      <c r="F8" s="4" t="s">
        <v>24</v>
      </c>
    </row>
    <row r="9" spans="1:11" ht="14.25" customHeight="1">
      <c r="A9" s="105">
        <v>1</v>
      </c>
      <c r="B9" t="s">
        <v>59</v>
      </c>
      <c r="C9" s="112">
        <v>158</v>
      </c>
      <c r="D9" s="113">
        <v>178</v>
      </c>
      <c r="E9" s="114">
        <v>336</v>
      </c>
      <c r="F9" s="21">
        <f t="shared" ref="F9:F46" si="0">IF(E9=0,"",E9/$E$47)</f>
        <v>3.0190849297343923E-3</v>
      </c>
    </row>
    <row r="10" spans="1:11" ht="14.25" customHeight="1">
      <c r="A10" s="105">
        <v>2</v>
      </c>
      <c r="B10" t="s">
        <v>56</v>
      </c>
      <c r="C10" s="115">
        <v>581</v>
      </c>
      <c r="D10" s="116">
        <v>1132</v>
      </c>
      <c r="E10" s="117">
        <v>1713</v>
      </c>
      <c r="F10" s="21">
        <f t="shared" si="0"/>
        <v>1.5391941918556589E-2</v>
      </c>
    </row>
    <row r="11" spans="1:11" ht="14.25" customHeight="1">
      <c r="A11" s="105">
        <v>3</v>
      </c>
      <c r="B11" t="s">
        <v>50</v>
      </c>
      <c r="C11" s="115">
        <v>9621</v>
      </c>
      <c r="D11" s="116">
        <v>825</v>
      </c>
      <c r="E11" s="117">
        <v>10446</v>
      </c>
      <c r="F11" s="21">
        <f t="shared" si="0"/>
        <v>9.3861193976206736E-2</v>
      </c>
    </row>
    <row r="12" spans="1:11" ht="14.25" customHeight="1">
      <c r="A12" s="105">
        <v>4</v>
      </c>
      <c r="B12" t="s">
        <v>60</v>
      </c>
      <c r="C12" s="115">
        <v>17</v>
      </c>
      <c r="D12" s="116">
        <v>3043</v>
      </c>
      <c r="E12" s="117">
        <v>3060</v>
      </c>
      <c r="F12" s="21">
        <f t="shared" si="0"/>
        <v>2.7495237752938217E-2</v>
      </c>
    </row>
    <row r="13" spans="1:11" ht="14.25" customHeight="1">
      <c r="A13" s="105">
        <v>5</v>
      </c>
      <c r="B13" t="s">
        <v>61</v>
      </c>
      <c r="C13" s="115">
        <v>16</v>
      </c>
      <c r="D13" s="116">
        <v>177</v>
      </c>
      <c r="E13" s="117">
        <v>193</v>
      </c>
      <c r="F13" s="21">
        <f t="shared" si="0"/>
        <v>1.7341767602343384E-3</v>
      </c>
    </row>
    <row r="14" spans="1:11" ht="14.25" customHeight="1">
      <c r="A14" s="105">
        <v>6</v>
      </c>
      <c r="B14" t="s">
        <v>62</v>
      </c>
      <c r="C14" s="115">
        <v>543</v>
      </c>
      <c r="D14" s="116">
        <v>13</v>
      </c>
      <c r="E14" s="117">
        <v>556</v>
      </c>
      <c r="F14" s="21">
        <f t="shared" si="0"/>
        <v>4.9958667289652448E-3</v>
      </c>
    </row>
    <row r="15" spans="1:11" ht="14.25" customHeight="1">
      <c r="A15" s="105">
        <v>7</v>
      </c>
      <c r="B15" t="s">
        <v>63</v>
      </c>
      <c r="C15" s="115">
        <v>7535</v>
      </c>
      <c r="D15" s="116">
        <v>347</v>
      </c>
      <c r="E15" s="117">
        <v>7882</v>
      </c>
      <c r="F15" s="21">
        <f t="shared" si="0"/>
        <v>7.0822700643352623E-2</v>
      </c>
    </row>
    <row r="16" spans="1:11" ht="14.25" customHeight="1">
      <c r="A16" s="105">
        <v>8</v>
      </c>
      <c r="B16" t="s">
        <v>64</v>
      </c>
      <c r="C16" s="115">
        <v>584</v>
      </c>
      <c r="D16" s="116">
        <v>88</v>
      </c>
      <c r="E16" s="117">
        <v>672</v>
      </c>
      <c r="F16" s="21">
        <f t="shared" si="0"/>
        <v>6.0381698594687847E-3</v>
      </c>
    </row>
    <row r="17" spans="1:6" ht="14.25" customHeight="1">
      <c r="A17" s="105">
        <v>9</v>
      </c>
      <c r="B17" t="s">
        <v>65</v>
      </c>
      <c r="C17" s="115">
        <v>819</v>
      </c>
      <c r="D17" s="116">
        <v>4403</v>
      </c>
      <c r="E17" s="117">
        <v>5222</v>
      </c>
      <c r="F17" s="21">
        <f t="shared" si="0"/>
        <v>4.6921611616288682E-2</v>
      </c>
    </row>
    <row r="18" spans="1:6" ht="14.25" customHeight="1">
      <c r="A18" s="105">
        <v>10</v>
      </c>
      <c r="B18" t="s">
        <v>66</v>
      </c>
      <c r="C18" s="115">
        <v>7717</v>
      </c>
      <c r="D18" s="116">
        <v>749</v>
      </c>
      <c r="E18" s="117">
        <v>8466</v>
      </c>
      <c r="F18" s="21">
        <f t="shared" si="0"/>
        <v>7.6070157783129061E-2</v>
      </c>
    </row>
    <row r="19" spans="1:6" ht="14.25" customHeight="1">
      <c r="A19" s="105">
        <v>11</v>
      </c>
      <c r="B19" t="s">
        <v>57</v>
      </c>
      <c r="C19" s="115">
        <v>56</v>
      </c>
      <c r="D19" s="116">
        <v>1370</v>
      </c>
      <c r="E19" s="117">
        <v>1426</v>
      </c>
      <c r="F19" s="21">
        <f t="shared" si="0"/>
        <v>1.2813140207741797E-2</v>
      </c>
    </row>
    <row r="20" spans="1:6" ht="14.25" customHeight="1">
      <c r="A20" s="105">
        <v>12</v>
      </c>
      <c r="B20" t="s">
        <v>67</v>
      </c>
      <c r="C20" s="115">
        <v>7570</v>
      </c>
      <c r="D20" s="116">
        <v>1932</v>
      </c>
      <c r="E20" s="117">
        <v>9502</v>
      </c>
      <c r="F20" s="21">
        <f t="shared" si="0"/>
        <v>8.5379002983143437E-2</v>
      </c>
    </row>
    <row r="21" spans="1:6" ht="14.25" customHeight="1">
      <c r="A21" s="105">
        <v>13</v>
      </c>
      <c r="B21" t="s">
        <v>68</v>
      </c>
      <c r="C21" s="115">
        <v>4320</v>
      </c>
      <c r="D21" s="116">
        <v>276</v>
      </c>
      <c r="E21" s="117">
        <v>4596</v>
      </c>
      <c r="F21" s="21">
        <f t="shared" si="0"/>
        <v>4.1296768860295437E-2</v>
      </c>
    </row>
    <row r="22" spans="1:6" ht="14.25" customHeight="1">
      <c r="A22" s="105">
        <v>14</v>
      </c>
      <c r="B22" t="s">
        <v>69</v>
      </c>
      <c r="C22" s="115"/>
      <c r="D22" s="116">
        <v>70</v>
      </c>
      <c r="E22" s="117">
        <v>70</v>
      </c>
      <c r="F22" s="21">
        <f t="shared" si="0"/>
        <v>6.2897602702799839E-4</v>
      </c>
    </row>
    <row r="23" spans="1:6" ht="14.25" customHeight="1">
      <c r="A23" s="105">
        <v>15</v>
      </c>
      <c r="B23" t="s">
        <v>70</v>
      </c>
      <c r="C23" s="115">
        <v>4</v>
      </c>
      <c r="D23" s="116">
        <v>4</v>
      </c>
      <c r="E23" s="117">
        <v>8</v>
      </c>
      <c r="F23" s="21">
        <f t="shared" si="0"/>
        <v>7.1882974517485535E-5</v>
      </c>
    </row>
    <row r="24" spans="1:6" ht="14.25" customHeight="1">
      <c r="A24" s="105">
        <v>16</v>
      </c>
      <c r="B24" t="s">
        <v>71</v>
      </c>
      <c r="C24" s="115">
        <v>461</v>
      </c>
      <c r="D24" s="116">
        <v>104</v>
      </c>
      <c r="E24" s="117">
        <v>565</v>
      </c>
      <c r="F24" s="21">
        <f t="shared" si="0"/>
        <v>5.0767350752974156E-3</v>
      </c>
    </row>
    <row r="25" spans="1:6" ht="14.25" customHeight="1">
      <c r="A25" s="105">
        <v>17</v>
      </c>
      <c r="B25" t="s">
        <v>72</v>
      </c>
      <c r="C25" s="115">
        <v>33</v>
      </c>
      <c r="D25" s="116"/>
      <c r="E25" s="117">
        <v>33</v>
      </c>
      <c r="F25" s="21">
        <f t="shared" si="0"/>
        <v>2.9651726988462782E-4</v>
      </c>
    </row>
    <row r="26" spans="1:6" ht="14.25" customHeight="1">
      <c r="A26" s="105">
        <v>18</v>
      </c>
      <c r="B26" t="s">
        <v>73</v>
      </c>
      <c r="C26" s="115">
        <v>318</v>
      </c>
      <c r="D26" s="116">
        <v>1127</v>
      </c>
      <c r="E26" s="117">
        <v>1445</v>
      </c>
      <c r="F26" s="21">
        <f t="shared" si="0"/>
        <v>1.2983862272220825E-2</v>
      </c>
    </row>
    <row r="27" spans="1:6" ht="14.25" customHeight="1">
      <c r="A27" s="105">
        <v>19</v>
      </c>
      <c r="B27" t="s">
        <v>74</v>
      </c>
      <c r="C27" s="115">
        <v>275</v>
      </c>
      <c r="D27" s="116">
        <v>94</v>
      </c>
      <c r="E27" s="117">
        <v>369</v>
      </c>
      <c r="F27" s="21">
        <f t="shared" si="0"/>
        <v>3.3156021996190201E-3</v>
      </c>
    </row>
    <row r="28" spans="1:6" ht="14.25" customHeight="1">
      <c r="A28" s="105">
        <v>20</v>
      </c>
      <c r="B28" t="s">
        <v>12</v>
      </c>
      <c r="C28" s="115">
        <v>6480</v>
      </c>
      <c r="D28" s="116">
        <v>397</v>
      </c>
      <c r="E28" s="117">
        <v>6877</v>
      </c>
      <c r="F28" s="21">
        <f t="shared" si="0"/>
        <v>6.17924019695935E-2</v>
      </c>
    </row>
    <row r="29" spans="1:6" ht="14.25" customHeight="1">
      <c r="A29" s="105">
        <v>21</v>
      </c>
      <c r="B29" t="s">
        <v>75</v>
      </c>
      <c r="C29" s="115">
        <v>1154</v>
      </c>
      <c r="D29" s="116">
        <v>23</v>
      </c>
      <c r="E29" s="117">
        <v>1177</v>
      </c>
      <c r="F29" s="21">
        <f t="shared" si="0"/>
        <v>1.057578262588506E-2</v>
      </c>
    </row>
    <row r="30" spans="1:6" ht="14.25" customHeight="1">
      <c r="A30" s="105">
        <v>22</v>
      </c>
      <c r="B30" t="s">
        <v>76</v>
      </c>
      <c r="C30" s="115">
        <v>187</v>
      </c>
      <c r="D30" s="116">
        <v>97</v>
      </c>
      <c r="E30" s="117">
        <v>284</v>
      </c>
      <c r="F30" s="21">
        <f t="shared" si="0"/>
        <v>2.5518455953707363E-3</v>
      </c>
    </row>
    <row r="31" spans="1:6" ht="14.25" customHeight="1">
      <c r="A31" s="105">
        <v>23</v>
      </c>
      <c r="B31" t="s">
        <v>77</v>
      </c>
      <c r="C31" s="115">
        <v>8</v>
      </c>
      <c r="D31" s="116">
        <v>1</v>
      </c>
      <c r="E31" s="117">
        <v>9</v>
      </c>
      <c r="F31" s="21">
        <f t="shared" si="0"/>
        <v>8.086834633217122E-5</v>
      </c>
    </row>
    <row r="32" spans="1:6" ht="14.25" customHeight="1">
      <c r="A32" s="105">
        <v>24</v>
      </c>
      <c r="B32" t="s">
        <v>78</v>
      </c>
      <c r="C32" s="115">
        <v>214</v>
      </c>
      <c r="D32" s="116">
        <v>315</v>
      </c>
      <c r="E32" s="117">
        <v>529</v>
      </c>
      <c r="F32" s="21">
        <f t="shared" si="0"/>
        <v>4.7532616899687305E-3</v>
      </c>
    </row>
    <row r="33" spans="1:7" ht="14.25" customHeight="1">
      <c r="A33" s="105">
        <v>25</v>
      </c>
      <c r="B33" t="s">
        <v>79</v>
      </c>
      <c r="C33" s="115">
        <v>8526</v>
      </c>
      <c r="D33" s="116">
        <v>230</v>
      </c>
      <c r="E33" s="117">
        <v>8756</v>
      </c>
      <c r="F33" s="21">
        <f t="shared" si="0"/>
        <v>7.8675915609387914E-2</v>
      </c>
    </row>
    <row r="34" spans="1:7" ht="14.25" customHeight="1">
      <c r="A34" s="105">
        <v>26</v>
      </c>
      <c r="B34" t="s">
        <v>80</v>
      </c>
      <c r="C34" s="115">
        <v>975</v>
      </c>
      <c r="D34" s="116">
        <v>221</v>
      </c>
      <c r="E34" s="117">
        <v>1196</v>
      </c>
      <c r="F34" s="21">
        <f t="shared" si="0"/>
        <v>1.0746504690364088E-2</v>
      </c>
    </row>
    <row r="35" spans="1:7" ht="14.25" customHeight="1">
      <c r="A35" s="105">
        <v>27</v>
      </c>
      <c r="B35" t="s">
        <v>81</v>
      </c>
      <c r="C35" s="115">
        <v>1</v>
      </c>
      <c r="D35" s="116"/>
      <c r="E35" s="117">
        <v>1</v>
      </c>
      <c r="F35" s="21">
        <f t="shared" si="0"/>
        <v>8.9853718146856918E-6</v>
      </c>
    </row>
    <row r="36" spans="1:7" ht="14.25" customHeight="1">
      <c r="A36" s="105">
        <v>28</v>
      </c>
      <c r="B36" t="s">
        <v>82</v>
      </c>
      <c r="C36" s="115">
        <v>4611</v>
      </c>
      <c r="D36" s="116">
        <v>912</v>
      </c>
      <c r="E36" s="117">
        <v>5523</v>
      </c>
      <c r="F36" s="21">
        <f t="shared" si="0"/>
        <v>4.9626208532509077E-2</v>
      </c>
    </row>
    <row r="37" spans="1:7" ht="14.25" customHeight="1">
      <c r="A37" s="105">
        <v>29</v>
      </c>
      <c r="B37" t="s">
        <v>83</v>
      </c>
      <c r="C37" s="115">
        <v>451</v>
      </c>
      <c r="D37" s="116">
        <v>126</v>
      </c>
      <c r="E37" s="117">
        <v>577</v>
      </c>
      <c r="F37" s="21">
        <f t="shared" si="0"/>
        <v>5.1845595370736443E-3</v>
      </c>
    </row>
    <row r="38" spans="1:7" ht="14.25" customHeight="1">
      <c r="A38" s="105">
        <v>30</v>
      </c>
      <c r="B38" t="s">
        <v>84</v>
      </c>
      <c r="C38" s="115">
        <v>2554</v>
      </c>
      <c r="D38" s="116">
        <v>194</v>
      </c>
      <c r="E38" s="117">
        <v>2748</v>
      </c>
      <c r="F38" s="21">
        <f t="shared" si="0"/>
        <v>2.4691801746756281E-2</v>
      </c>
    </row>
    <row r="39" spans="1:7" ht="14.25" customHeight="1">
      <c r="A39" s="105">
        <v>31</v>
      </c>
      <c r="B39" t="s">
        <v>85</v>
      </c>
      <c r="C39" s="115">
        <v>1646</v>
      </c>
      <c r="D39" s="116">
        <v>148</v>
      </c>
      <c r="E39" s="117">
        <v>1794</v>
      </c>
      <c r="F39" s="21">
        <f t="shared" si="0"/>
        <v>1.611975703554613E-2</v>
      </c>
    </row>
    <row r="40" spans="1:7" ht="14.25" customHeight="1">
      <c r="A40" s="105">
        <v>32</v>
      </c>
      <c r="B40" t="s">
        <v>86</v>
      </c>
      <c r="C40" s="115"/>
      <c r="D40" s="116">
        <v>13</v>
      </c>
      <c r="E40" s="117">
        <v>13</v>
      </c>
      <c r="F40" s="21">
        <f t="shared" si="0"/>
        <v>1.1680983359091399E-4</v>
      </c>
    </row>
    <row r="41" spans="1:7" ht="14.25" customHeight="1">
      <c r="A41" s="105">
        <v>33</v>
      </c>
      <c r="B41" t="s">
        <v>54</v>
      </c>
      <c r="C41" s="115">
        <v>3191</v>
      </c>
      <c r="D41" s="116">
        <v>108</v>
      </c>
      <c r="E41" s="117">
        <v>3299</v>
      </c>
      <c r="F41" s="21">
        <f t="shared" si="0"/>
        <v>2.9642741616648097E-2</v>
      </c>
    </row>
    <row r="42" spans="1:7" ht="14.25" customHeight="1">
      <c r="A42" s="105">
        <v>34</v>
      </c>
      <c r="B42" t="s">
        <v>87</v>
      </c>
      <c r="C42" s="115">
        <v>11264</v>
      </c>
      <c r="D42" s="116">
        <v>249</v>
      </c>
      <c r="E42" s="117">
        <v>11513</v>
      </c>
      <c r="F42" s="21">
        <f t="shared" si="0"/>
        <v>0.10344858570247636</v>
      </c>
    </row>
    <row r="43" spans="1:7" ht="14.25" customHeight="1">
      <c r="A43" s="105">
        <v>35</v>
      </c>
      <c r="B43" t="s">
        <v>88</v>
      </c>
      <c r="C43" s="115">
        <v>6125</v>
      </c>
      <c r="D43" s="116">
        <v>517</v>
      </c>
      <c r="E43" s="117">
        <v>6642</v>
      </c>
      <c r="F43" s="21">
        <f t="shared" si="0"/>
        <v>5.9680839593142361E-2</v>
      </c>
    </row>
    <row r="44" spans="1:7" ht="15">
      <c r="A44" s="105">
        <v>36</v>
      </c>
      <c r="B44" t="s">
        <v>89</v>
      </c>
      <c r="C44" s="115">
        <v>584</v>
      </c>
      <c r="D44" s="116">
        <v>100</v>
      </c>
      <c r="E44" s="117">
        <v>684</v>
      </c>
      <c r="F44" s="21">
        <f t="shared" si="0"/>
        <v>6.1459943212450133E-3</v>
      </c>
    </row>
    <row r="45" spans="1:7" ht="15">
      <c r="A45" s="105">
        <v>37</v>
      </c>
      <c r="B45" t="s">
        <v>91</v>
      </c>
      <c r="C45" s="115">
        <v>40</v>
      </c>
      <c r="D45" s="116">
        <v>16</v>
      </c>
      <c r="E45" s="117">
        <v>56</v>
      </c>
      <c r="F45" s="21">
        <f t="shared" si="0"/>
        <v>5.0318082162239869E-4</v>
      </c>
      <c r="G45" s="109"/>
    </row>
    <row r="46" spans="1:7" ht="15">
      <c r="A46" s="105">
        <v>38</v>
      </c>
      <c r="B46" t="s">
        <v>90</v>
      </c>
      <c r="C46" s="115">
        <v>2670</v>
      </c>
      <c r="D46" s="116">
        <v>384</v>
      </c>
      <c r="E46" s="117">
        <v>3054</v>
      </c>
      <c r="F46" s="21">
        <f t="shared" si="0"/>
        <v>2.7441325522050104E-2</v>
      </c>
    </row>
    <row r="47" spans="1:7">
      <c r="A47" s="105"/>
      <c r="B47" s="108" t="s">
        <v>58</v>
      </c>
      <c r="C47" s="118">
        <v>91309</v>
      </c>
      <c r="D47" s="119">
        <v>19983</v>
      </c>
      <c r="E47" s="120">
        <v>111292</v>
      </c>
      <c r="F47" s="21">
        <f>SUM(F9:F46)</f>
        <v>1</v>
      </c>
    </row>
    <row r="48" spans="1:7">
      <c r="A48" s="106"/>
    </row>
    <row r="49" spans="1:10">
      <c r="A49" s="1" t="s">
        <v>22</v>
      </c>
      <c r="B49" s="103"/>
    </row>
    <row r="50" spans="1:10">
      <c r="A50" s="1" t="s">
        <v>21</v>
      </c>
      <c r="J50" s="104"/>
    </row>
    <row r="51" spans="1:10">
      <c r="A51" s="1" t="s">
        <v>17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zoomScalePageLayoutView="70" workbookViewId="0">
      <selection activeCell="C13" sqref="C13"/>
    </sheetView>
  </sheetViews>
  <sheetFormatPr defaultColWidth="9.140625" defaultRowHeight="12.75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8" customFormat="1" ht="18" customHeight="1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>
      <c r="A2" s="121" t="s">
        <v>55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>
      <c r="A3" s="22" t="s">
        <v>48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>
      <c r="A4" s="22" t="s">
        <v>47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>
      <c r="A5" s="26" t="s">
        <v>1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>
      <c r="A6" s="9" t="str">
        <f>'Summary Load Customers '!A6</f>
        <v>Data as of May 31 2019</v>
      </c>
      <c r="B6" s="25"/>
      <c r="C6" s="25"/>
      <c r="D6" s="70"/>
      <c r="E6" s="70"/>
      <c r="F6" s="70"/>
      <c r="G6" s="25"/>
      <c r="H6" s="25"/>
      <c r="I6" s="25"/>
    </row>
    <row r="7" spans="1:9" ht="18" customHeight="1">
      <c r="B7" s="27"/>
      <c r="C7" s="27"/>
      <c r="D7" s="58"/>
      <c r="E7" s="58"/>
      <c r="F7" s="59"/>
      <c r="G7" s="59"/>
      <c r="H7" s="27"/>
    </row>
    <row r="8" spans="1:9" ht="18" customHeight="1">
      <c r="A8" s="60" t="s">
        <v>41</v>
      </c>
      <c r="B8" s="61"/>
      <c r="C8" s="61"/>
      <c r="D8" s="62"/>
      <c r="E8" s="62"/>
      <c r="F8" s="63"/>
      <c r="G8" s="63"/>
      <c r="H8" s="61"/>
      <c r="I8" s="64"/>
    </row>
    <row r="9" spans="1:9" ht="18" customHeight="1">
      <c r="B9" s="27"/>
      <c r="C9" s="27"/>
      <c r="D9" s="58"/>
      <c r="E9" s="58"/>
      <c r="F9" s="65"/>
      <c r="G9" s="65"/>
      <c r="H9" s="27"/>
    </row>
    <row r="10" spans="1:9" ht="18" customHeight="1">
      <c r="A10" s="28" t="s">
        <v>52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>
      <c r="A11" s="39"/>
      <c r="B11" s="31" t="s">
        <v>4</v>
      </c>
      <c r="C11" s="51"/>
      <c r="D11" s="31" t="s">
        <v>25</v>
      </c>
      <c r="E11" s="52"/>
      <c r="F11" s="31" t="s">
        <v>32</v>
      </c>
      <c r="G11" s="33"/>
    </row>
    <row r="12" spans="1:9" ht="18" customHeight="1">
      <c r="A12" s="36"/>
      <c r="B12" s="37" t="s">
        <v>13</v>
      </c>
      <c r="C12" s="38" t="s">
        <v>19</v>
      </c>
      <c r="D12" s="37" t="str">
        <f>B12</f>
        <v>Customers</v>
      </c>
      <c r="E12" s="38" t="s">
        <v>19</v>
      </c>
      <c r="F12" s="37" t="str">
        <f>B12</f>
        <v>Customers</v>
      </c>
      <c r="G12" s="38" t="s">
        <v>18</v>
      </c>
    </row>
    <row r="13" spans="1:9" ht="18" customHeight="1">
      <c r="A13" s="39" t="s">
        <v>43</v>
      </c>
      <c r="B13" s="42">
        <f>REC_programs_detail!B23</f>
        <v>3365</v>
      </c>
      <c r="C13" s="43">
        <f>IF(B13=0,0,B13/'Summary Load Customers '!$B$22)</f>
        <v>1.1191969720150867E-2</v>
      </c>
      <c r="D13" s="42">
        <f>REC_programs_detail!C23</f>
        <v>38</v>
      </c>
      <c r="E13" s="43">
        <f>IF(D13=0,0,D13/('Summary Load Customers '!$D$22+'Summary Load Customers '!$F$22))</f>
        <v>1.0014230748959048E-3</v>
      </c>
      <c r="F13" s="42">
        <f>B13+D13</f>
        <v>3403</v>
      </c>
      <c r="G13" s="43">
        <f>IF(F13=0,0,F13/'Summary Load Customers '!$H$22)</f>
        <v>1.004996928601805E-2</v>
      </c>
    </row>
    <row r="14" spans="1:9" ht="15.75" customHeight="1">
      <c r="G14" s="49"/>
      <c r="H14" s="27"/>
    </row>
    <row r="15" spans="1:9" ht="15.75" customHeight="1">
      <c r="A15" s="99" t="str">
        <f>"As the above table shows, "&amp;TEXT(F13,"0,000")&amp;" of UI's customers, or "&amp;TEXT(G13,"0.0%")&amp;" are participating in the CTCleanEnergyOptions Program."</f>
        <v>As the above table shows, 3,403 of UI's customers, or 1.0% are participating in the CTCleanEnergyOptions Program.</v>
      </c>
      <c r="G15" s="49"/>
      <c r="H15" s="27"/>
    </row>
    <row r="16" spans="1:9" ht="15.75" customHeight="1">
      <c r="G16" s="49"/>
      <c r="H16" s="27"/>
    </row>
    <row r="17" spans="1:9" ht="18" customHeight="1">
      <c r="A17" s="28" t="s">
        <v>42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>
      <c r="A18" s="39"/>
      <c r="B18" s="31" t="s">
        <v>4</v>
      </c>
      <c r="C18" s="51"/>
      <c r="D18" s="31" t="s">
        <v>25</v>
      </c>
      <c r="E18" s="52"/>
      <c r="F18" s="31" t="s">
        <v>32</v>
      </c>
      <c r="G18" s="33"/>
    </row>
    <row r="19" spans="1:9" ht="18" customHeight="1">
      <c r="A19" s="36"/>
      <c r="B19" s="37" t="s">
        <v>13</v>
      </c>
      <c r="C19" s="38" t="s">
        <v>19</v>
      </c>
      <c r="D19" s="37" t="str">
        <f>B19</f>
        <v>Customers</v>
      </c>
      <c r="E19" s="38" t="s">
        <v>19</v>
      </c>
      <c r="F19" s="37" t="str">
        <f>B19</f>
        <v>Customers</v>
      </c>
      <c r="G19" s="38" t="s">
        <v>18</v>
      </c>
    </row>
    <row r="20" spans="1:9" ht="18" customHeight="1">
      <c r="A20" s="39" t="s">
        <v>44</v>
      </c>
      <c r="B20" s="42">
        <f>REC_programs_detail!B29</f>
        <v>623</v>
      </c>
      <c r="C20" s="43">
        <f>IF(B20=0,0,B20/'Summary Load Customers '!$B$22)</f>
        <v>2.0720942453652273E-3</v>
      </c>
      <c r="D20" s="42">
        <f>REC_programs_detail!C29</f>
        <v>58</v>
      </c>
      <c r="E20" s="43">
        <f>IF(D20=0,0,D20/('Summary Load Customers '!$D$22+'Summary Load Customers '!$F$22))</f>
        <v>1.5284878511569071E-3</v>
      </c>
      <c r="F20" s="42">
        <f>B20+D20</f>
        <v>681</v>
      </c>
      <c r="G20" s="43">
        <f>IF(F20=0,0,F20/'Summary Load Customers '!$H$22)</f>
        <v>2.0111751642016727E-3</v>
      </c>
    </row>
    <row r="21" spans="1:9" ht="18" customHeight="1">
      <c r="B21" s="48"/>
      <c r="C21" s="47"/>
      <c r="D21" s="48"/>
      <c r="E21" s="47"/>
      <c r="F21" s="48"/>
      <c r="G21" s="47"/>
      <c r="H21" s="48"/>
      <c r="I21" s="47"/>
    </row>
    <row r="22" spans="1:9" ht="18" customHeight="1">
      <c r="A22" s="99" t="str">
        <f>"As the above table shows, "&amp;TEXT(F20,"0,000")&amp;" of UI's customers, or "&amp;TEXT(G20,"0.0%")&amp;" are participating in the REC only program."</f>
        <v>As the above table shows, 0,681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4.25">
      <c r="A23" s="45"/>
    </row>
    <row r="24" spans="1:9" ht="15">
      <c r="A24" s="28" t="s">
        <v>46</v>
      </c>
      <c r="B24" s="29"/>
      <c r="C24" s="29"/>
      <c r="D24" s="29"/>
      <c r="E24" s="29"/>
      <c r="F24" s="29"/>
      <c r="G24" s="50"/>
      <c r="H24" s="24"/>
      <c r="I24" s="25"/>
    </row>
    <row r="25" spans="1:9" ht="15">
      <c r="A25" s="39"/>
      <c r="B25" s="31" t="s">
        <v>4</v>
      </c>
      <c r="C25" s="51"/>
      <c r="D25" s="31" t="s">
        <v>25</v>
      </c>
      <c r="E25" s="52"/>
      <c r="F25" s="31" t="s">
        <v>32</v>
      </c>
      <c r="G25" s="33"/>
    </row>
    <row r="26" spans="1:9" ht="15">
      <c r="A26" s="36"/>
      <c r="B26" s="37" t="s">
        <v>13</v>
      </c>
      <c r="C26" s="38" t="s">
        <v>19</v>
      </c>
      <c r="D26" s="37" t="str">
        <f>B26</f>
        <v>Customers</v>
      </c>
      <c r="E26" s="38" t="s">
        <v>19</v>
      </c>
      <c r="F26" s="37" t="str">
        <f>B26</f>
        <v>Customers</v>
      </c>
      <c r="G26" s="38" t="s">
        <v>18</v>
      </c>
    </row>
    <row r="27" spans="1:9" ht="14.25">
      <c r="A27" s="39" t="s">
        <v>45</v>
      </c>
      <c r="B27" s="42">
        <f>B13+B20</f>
        <v>3988</v>
      </c>
      <c r="C27" s="43">
        <f>IF(B27=0,0,B27/'Summary Load Customers '!$B$22)</f>
        <v>1.3264063965516094E-2</v>
      </c>
      <c r="D27" s="42">
        <f>D13+D20</f>
        <v>96</v>
      </c>
      <c r="E27" s="43">
        <f>IF(D27=0,0,D27/('Summary Load Customers '!$D$22+'Summary Load Customers '!$F$22))</f>
        <v>2.5299109260528119E-3</v>
      </c>
      <c r="F27" s="42">
        <f>B27+D27</f>
        <v>4084</v>
      </c>
      <c r="G27" s="43">
        <f>IF(F27=0,0,F27/'Summary Load Customers '!$H$22)</f>
        <v>1.2061144450219724E-2</v>
      </c>
    </row>
    <row r="28" spans="1:9" ht="15">
      <c r="G28" s="49"/>
      <c r="H28" s="27"/>
    </row>
    <row r="29" spans="1:9" ht="15">
      <c r="A29" s="99" t="str">
        <f>"As the above table shows, "&amp;TEXT(F27,"0,000")&amp;" of UI's customers, or "&amp;TEXT(G27,"0.0%")&amp;" are participating in the combined REC programs."</f>
        <v>As the above table shows, 4,084 of UI's customers, or 1.2% are participating in the combined REC programs.</v>
      </c>
      <c r="G29" s="49"/>
      <c r="H29" s="27"/>
    </row>
    <row r="31" spans="1:9" ht="13.5">
      <c r="A31" s="66" t="s">
        <v>31</v>
      </c>
    </row>
    <row r="32" spans="1:9" ht="13.5">
      <c r="A32" s="66"/>
    </row>
    <row r="33" spans="1:1" ht="13.5">
      <c r="A33" s="66" t="s">
        <v>53</v>
      </c>
    </row>
    <row r="34" spans="1:1">
      <c r="A34" s="67" t="s">
        <v>51</v>
      </c>
    </row>
    <row r="36" spans="1:1">
      <c r="A36" s="67" t="s">
        <v>17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zoomScale="110" zoomScaleNormal="110" workbookViewId="0">
      <selection activeCell="C10" sqref="C10"/>
    </sheetView>
  </sheetViews>
  <sheetFormatPr defaultColWidth="9.140625" defaultRowHeight="11.25"/>
  <cols>
    <col min="1" max="1" width="28" style="74" customWidth="1"/>
    <col min="2" max="3" width="19.140625" style="74" customWidth="1"/>
    <col min="4" max="4" width="20.28515625" style="74" customWidth="1"/>
    <col min="5" max="5" width="7.140625" style="74" customWidth="1"/>
    <col min="6" max="6" width="23.28515625" style="74" bestFit="1" customWidth="1"/>
    <col min="7" max="7" width="10.42578125" style="74" customWidth="1"/>
    <col min="8" max="16384" width="9.140625" style="74"/>
  </cols>
  <sheetData>
    <row r="1" spans="1:9" s="73" customFormat="1" ht="15" customHeight="1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>
      <c r="A2" s="123" t="s">
        <v>55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>
      <c r="A3" s="122" t="s">
        <v>34</v>
      </c>
      <c r="B3" s="122"/>
      <c r="C3" s="122"/>
      <c r="D3" s="122"/>
      <c r="E3" s="71"/>
      <c r="F3" s="71"/>
      <c r="G3" s="72"/>
    </row>
    <row r="4" spans="1:9" s="73" customFormat="1" ht="15" customHeight="1">
      <c r="A4" s="122" t="s">
        <v>1</v>
      </c>
      <c r="B4" s="122"/>
      <c r="C4" s="122"/>
      <c r="D4" s="122"/>
      <c r="E4" s="71"/>
      <c r="F4" s="71"/>
      <c r="G4" s="72"/>
    </row>
    <row r="5" spans="1:9" s="73" customFormat="1" ht="15" customHeight="1">
      <c r="A5" s="122" t="str">
        <f>'Summary Load Customers '!A6</f>
        <v>Data as of May 31 2019</v>
      </c>
      <c r="B5" s="122"/>
      <c r="C5" s="122"/>
      <c r="D5" s="122"/>
      <c r="E5" s="71"/>
      <c r="F5" s="71"/>
      <c r="G5" s="72"/>
    </row>
    <row r="6" spans="1:9">
      <c r="C6" s="75"/>
      <c r="D6" s="75"/>
      <c r="E6" s="75"/>
      <c r="F6" s="75"/>
      <c r="G6" s="75"/>
    </row>
    <row r="7" spans="1:9" s="81" customFormat="1" ht="22.5">
      <c r="A7" s="76" t="s">
        <v>36</v>
      </c>
      <c r="B7" s="77" t="s">
        <v>4</v>
      </c>
      <c r="C7" s="76" t="s">
        <v>5</v>
      </c>
      <c r="D7" s="76" t="s">
        <v>32</v>
      </c>
      <c r="E7" s="78"/>
      <c r="F7" s="78"/>
      <c r="G7" s="79"/>
      <c r="H7" s="80"/>
    </row>
    <row r="8" spans="1:9">
      <c r="A8" s="82" t="s">
        <v>35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>
      <c r="A9" s="82" t="s">
        <v>14</v>
      </c>
      <c r="B9" s="84">
        <v>125</v>
      </c>
      <c r="C9" s="84">
        <v>2</v>
      </c>
      <c r="D9" s="85">
        <f>SUM(B9:C9)</f>
        <v>127</v>
      </c>
      <c r="E9" s="87"/>
      <c r="F9" s="87"/>
      <c r="G9" s="86"/>
      <c r="H9" s="75"/>
    </row>
    <row r="10" spans="1:9">
      <c r="A10" s="82" t="s">
        <v>15</v>
      </c>
      <c r="B10" s="84">
        <v>2764</v>
      </c>
      <c r="C10" s="84">
        <v>35</v>
      </c>
      <c r="D10" s="85">
        <f>SUM(B10:C10)</f>
        <v>2799</v>
      </c>
      <c r="E10" s="88"/>
      <c r="F10" s="89"/>
      <c r="G10" s="86"/>
      <c r="H10" s="75"/>
    </row>
    <row r="11" spans="1:9">
      <c r="A11" s="90" t="s">
        <v>6</v>
      </c>
      <c r="B11" s="91">
        <f>IF(B9+B10=0,0,B9+B10)</f>
        <v>2889</v>
      </c>
      <c r="C11" s="91">
        <f>IF(SUM(C8:C10)=0,0,SUM(C8:C10))</f>
        <v>37</v>
      </c>
      <c r="D11" s="91">
        <f>IF(SUM(D8:D10)=0,0,SUM(D8:D10))</f>
        <v>2926</v>
      </c>
      <c r="E11" s="88"/>
      <c r="F11" s="89"/>
      <c r="G11" s="86"/>
      <c r="H11" s="75"/>
    </row>
    <row r="12" spans="1:9">
      <c r="A12" s="75"/>
      <c r="B12" s="92"/>
      <c r="C12" s="92"/>
      <c r="D12" s="92"/>
      <c r="E12" s="88"/>
      <c r="F12" s="89"/>
      <c r="G12" s="93"/>
      <c r="H12" s="75"/>
    </row>
    <row r="13" spans="1:9" ht="22.5">
      <c r="A13" s="76" t="s">
        <v>39</v>
      </c>
      <c r="B13" s="76" t="s">
        <v>4</v>
      </c>
      <c r="C13" s="76" t="str">
        <f>C7</f>
        <v>Business</v>
      </c>
      <c r="D13" s="76" t="s">
        <v>32</v>
      </c>
      <c r="E13" s="94"/>
      <c r="F13" s="95"/>
      <c r="G13" s="93"/>
      <c r="H13" s="75"/>
    </row>
    <row r="14" spans="1:9">
      <c r="A14" s="82" t="s">
        <v>35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>
      <c r="A15" s="82" t="s">
        <v>14</v>
      </c>
      <c r="B15" s="84">
        <v>2</v>
      </c>
      <c r="C15" s="84">
        <v>0</v>
      </c>
      <c r="D15" s="85">
        <f>SUM(B15:C15)</f>
        <v>2</v>
      </c>
      <c r="E15" s="87"/>
      <c r="F15" s="87"/>
      <c r="G15" s="86"/>
      <c r="H15" s="75"/>
    </row>
    <row r="16" spans="1:9">
      <c r="A16" s="82" t="s">
        <v>15</v>
      </c>
      <c r="B16" s="84">
        <v>474</v>
      </c>
      <c r="C16" s="84">
        <v>1</v>
      </c>
      <c r="D16" s="85">
        <f>SUM(B16:C16)</f>
        <v>475</v>
      </c>
      <c r="E16" s="88"/>
      <c r="F16" s="89"/>
      <c r="G16" s="86"/>
      <c r="H16" s="75"/>
    </row>
    <row r="17" spans="1:8">
      <c r="A17" s="90" t="str">
        <f>A11</f>
        <v>Total</v>
      </c>
      <c r="B17" s="91">
        <f>IF(B15+B16=0,0,B15+B16)</f>
        <v>476</v>
      </c>
      <c r="C17" s="91">
        <f>IF(SUM(C14:C16)=0,0,SUM(C14:C16))</f>
        <v>1</v>
      </c>
      <c r="D17" s="91">
        <f>IF(SUM(D14:D16)=0,0,SUM(D14:D16))</f>
        <v>477</v>
      </c>
      <c r="E17" s="88"/>
      <c r="F17" s="89"/>
      <c r="G17" s="86"/>
      <c r="H17" s="75"/>
    </row>
    <row r="18" spans="1:8">
      <c r="A18" s="75"/>
      <c r="B18" s="75"/>
      <c r="C18" s="75"/>
      <c r="D18" s="75"/>
      <c r="E18" s="88"/>
      <c r="F18" s="89"/>
      <c r="G18" s="93"/>
      <c r="H18" s="75"/>
    </row>
    <row r="19" spans="1:8" ht="22.5">
      <c r="A19" s="76" t="s">
        <v>40</v>
      </c>
      <c r="B19" s="76" t="s">
        <v>4</v>
      </c>
      <c r="C19" s="76" t="str">
        <f>C7</f>
        <v>Business</v>
      </c>
      <c r="D19" s="76" t="s">
        <v>32</v>
      </c>
      <c r="E19" s="94"/>
      <c r="F19" s="95"/>
      <c r="G19" s="93"/>
      <c r="H19" s="75"/>
    </row>
    <row r="20" spans="1:8">
      <c r="A20" s="82" t="s">
        <v>35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>
      <c r="A21" s="82" t="s">
        <v>14</v>
      </c>
      <c r="B21" s="96">
        <f>IF(B9+B15=0,0,B9+B15)</f>
        <v>127</v>
      </c>
      <c r="C21" s="96">
        <f>IF(C9+C15=0,0,C9+C15)</f>
        <v>2</v>
      </c>
      <c r="D21" s="85">
        <f t="shared" si="0"/>
        <v>129</v>
      </c>
      <c r="E21" s="86"/>
      <c r="F21" s="93"/>
      <c r="G21" s="93"/>
      <c r="H21" s="75"/>
    </row>
    <row r="22" spans="1:8">
      <c r="A22" s="82" t="s">
        <v>15</v>
      </c>
      <c r="B22" s="96">
        <f>IF(B10+B16=0,0,B10+B16)</f>
        <v>3238</v>
      </c>
      <c r="C22" s="96">
        <f>IF(C10+C16=0,0,C10+C16)</f>
        <v>36</v>
      </c>
      <c r="D22" s="85">
        <f>IF(D10+D16=0,0,D10+D16)</f>
        <v>3274</v>
      </c>
      <c r="E22" s="75"/>
      <c r="F22" s="93"/>
      <c r="G22" s="93"/>
      <c r="H22" s="75"/>
    </row>
    <row r="23" spans="1:8">
      <c r="A23" s="90" t="str">
        <f>A11</f>
        <v>Total</v>
      </c>
      <c r="B23" s="91">
        <f>IF(B21+B22=0,0,B21+B22)</f>
        <v>3365</v>
      </c>
      <c r="C23" s="91">
        <f>IF(SUM(C20:C22)=0,0,SUM(C20:C22))</f>
        <v>38</v>
      </c>
      <c r="D23" s="91">
        <f>SUM(D20:D22)</f>
        <v>3403</v>
      </c>
      <c r="E23" s="75"/>
      <c r="F23" s="93"/>
      <c r="G23" s="93"/>
      <c r="H23" s="75"/>
    </row>
    <row r="24" spans="1:8">
      <c r="B24" s="75"/>
      <c r="C24" s="75"/>
      <c r="E24" s="75"/>
      <c r="F24" s="93"/>
      <c r="G24" s="93"/>
      <c r="H24" s="75"/>
    </row>
    <row r="25" spans="1:8" ht="22.5">
      <c r="A25" s="76" t="s">
        <v>37</v>
      </c>
      <c r="B25" s="76" t="s">
        <v>4</v>
      </c>
      <c r="C25" s="76" t="s">
        <v>5</v>
      </c>
      <c r="D25" s="76" t="s">
        <v>32</v>
      </c>
    </row>
    <row r="26" spans="1:8">
      <c r="A26" s="82" t="s">
        <v>35</v>
      </c>
      <c r="B26" s="83"/>
      <c r="C26" s="96">
        <f>IF(C14+C20=0,0,C14+C20)</f>
        <v>0</v>
      </c>
      <c r="D26" s="85">
        <f>IF(C26=0,0,C26)</f>
        <v>0</v>
      </c>
    </row>
    <row r="27" spans="1:8">
      <c r="A27" s="82" t="s">
        <v>14</v>
      </c>
      <c r="B27" s="84">
        <v>183</v>
      </c>
      <c r="C27" s="84">
        <v>11</v>
      </c>
      <c r="D27" s="85">
        <f>SUM(B27:C27)</f>
        <v>194</v>
      </c>
    </row>
    <row r="28" spans="1:8">
      <c r="A28" s="82" t="s">
        <v>15</v>
      </c>
      <c r="B28" s="84">
        <v>440</v>
      </c>
      <c r="C28" s="84">
        <v>47</v>
      </c>
      <c r="D28" s="85">
        <f>SUM(B28:C28)</f>
        <v>487</v>
      </c>
    </row>
    <row r="29" spans="1:8">
      <c r="A29" s="90" t="str">
        <f>A23</f>
        <v>Total</v>
      </c>
      <c r="B29" s="110">
        <f>IF(B27+B28=0,0,B27+B28)</f>
        <v>623</v>
      </c>
      <c r="C29" s="91">
        <f>IF(SUM(C26:C28)=0,0,SUM(C26:C28))</f>
        <v>58</v>
      </c>
      <c r="D29" s="91">
        <f>IF(SUM(D26:D28)=0,0,SUM(D26:D28))</f>
        <v>681</v>
      </c>
    </row>
    <row r="31" spans="1:8">
      <c r="A31" s="76" t="s">
        <v>38</v>
      </c>
      <c r="B31" s="76" t="s">
        <v>4</v>
      </c>
      <c r="C31" s="76" t="str">
        <f>C19</f>
        <v>Business</v>
      </c>
      <c r="D31" s="76" t="s">
        <v>32</v>
      </c>
    </row>
    <row r="32" spans="1:8">
      <c r="A32" s="82" t="s">
        <v>35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>
      <c r="A33" s="82" t="s">
        <v>14</v>
      </c>
      <c r="B33" s="96">
        <f>B21+B27</f>
        <v>310</v>
      </c>
      <c r="C33" s="96">
        <f t="shared" si="1"/>
        <v>13</v>
      </c>
      <c r="D33" s="85">
        <f t="shared" si="1"/>
        <v>323</v>
      </c>
      <c r="E33" s="75"/>
      <c r="F33" s="75"/>
      <c r="G33" s="75"/>
    </row>
    <row r="34" spans="1:7">
      <c r="A34" s="82" t="s">
        <v>15</v>
      </c>
      <c r="B34" s="96">
        <f>B22+B28</f>
        <v>3678</v>
      </c>
      <c r="C34" s="96">
        <f t="shared" si="1"/>
        <v>83</v>
      </c>
      <c r="D34" s="85">
        <f t="shared" si="1"/>
        <v>3761</v>
      </c>
    </row>
    <row r="35" spans="1:7">
      <c r="A35" s="90" t="str">
        <f>A29</f>
        <v>Total</v>
      </c>
      <c r="B35" s="91">
        <f>IF(B33+B34=0,0,B33+B34)</f>
        <v>3988</v>
      </c>
      <c r="C35" s="91">
        <f>IF(SUM(C32:C34)=0,0,SUM(C32:C34))</f>
        <v>96</v>
      </c>
      <c r="D35" s="91">
        <f>SUM(D32:D34)</f>
        <v>4084</v>
      </c>
    </row>
    <row r="37" spans="1:7">
      <c r="A37" s="97" t="str">
        <f>"In summary, "&amp;TEXT($D$23,"0,000")&amp; " of UI's customers are participating in the CTCleanEnergyOptions Program"</f>
        <v>In summary, 3,403 of UI's customers are participating in the CTCleanEnergyOptions Program</v>
      </c>
    </row>
    <row r="38" spans="1:7">
      <c r="A38" s="97" t="str">
        <f>"In summary, "&amp;TEXT($D$29,"000")&amp; " of UI's customers are participating in RECs only with Sterling Planet"</f>
        <v>In summary, 681 of UI's customers are participating in RECs only with Sterling Planet</v>
      </c>
    </row>
    <row r="39" spans="1:7">
      <c r="A39" s="97" t="str">
        <f>"In summary, "&amp;TEXT($D$35,"0,000")&amp; " of UI's customers are participating in all REC programs"</f>
        <v>In summary, 4,084 of UI's customers are participating in all REC programs</v>
      </c>
    </row>
    <row r="41" spans="1:7">
      <c r="A41" s="98" t="s">
        <v>20</v>
      </c>
    </row>
    <row r="42" spans="1:7">
      <c r="A42" s="75" t="s">
        <v>16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2019-06-14T13:52:37Z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AdHocReviewCycleID">
    <vt:i4>1717894849</vt:i4>
  </property>
  <property fmtid="{D5CDD505-2E9C-101B-9397-08002B2CF9AE}" pid="4" name="_NewReviewCycle">
    <vt:lpwstr/>
  </property>
  <property fmtid="{D5CDD505-2E9C-101B-9397-08002B2CF9AE}" pid="5" name="_EmailSubject">
    <vt:lpwstr>Website 06-10-22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