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 activeTab="3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0" i="7" l="1"/>
  <c r="D20" i="7"/>
  <c r="F21" i="7"/>
  <c r="D21" i="7"/>
  <c r="B21" i="7"/>
  <c r="B20" i="7"/>
  <c r="F12" i="7" l="1"/>
  <c r="F11" i="7"/>
  <c r="D12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<sst xmlns="http://schemas.openxmlformats.org/spreadsheetml/2006/main" count="160" uniqueCount="94">
  <si>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</si>
  <si>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</si>
  <si>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</si>
  <si>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</si>
  <si>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</si>
  <si>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</si>
  <si>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</si>
  <si>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</si>
  <si>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</si>
  <si>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</si>
  <si>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</si>
  <si>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</si>
  <si>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</si>
  <si>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</si>
  <si>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</si>
  <si>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</si>
  <si>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</si>
  <si>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</si>
  <si>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</si>
  <si>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</si>
  <si>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</si>
  <si>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</si>
  <si>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</si>
  <si>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</si>
  <si>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</si>
  <si>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</si>
  <si>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</si>
  <si>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</si>
  <si>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</si>
  <si>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</si>
  <si>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</si>
  <si>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</si>
  <si>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</si>
  <si>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</si>
  <si>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</si>
  <si>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</si>
  <si>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</si>
  <si>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</si>
  <si>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</si>
  <si>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</si>
  <si>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</si>
  <si>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</si>
  <si>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</si>
  <si>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</si>
  <si>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</si>
  <si>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</si>
  <si>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</si>
  <si>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</si>
  <si>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</si>
  <si>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</si>
  <si>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</si>
  <si>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</si>
  <si>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</si>
  <si>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</si>
  <si>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</si>
  <si>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</si>
  <si>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</si>
  <si>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</si>
  <si>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</si>
  <si>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</si>
  <si>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</si>
  <si>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</si>
  <si>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</si>
  <si>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</si>
  <si>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</si>
  <si>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</si>
  <si>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</si>
  <si>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</si>
  <si>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</si>
  <si>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</si>
  <si>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</si>
  <si>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</si>
  <si>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</si>
  <si>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</si>
  <si>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</si>
  <si>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</si>
  <si>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</si>
  <si>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</si>
  <si>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</si>
  <si>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</si>
  <si>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</si>
  <si>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</si>
  <si>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</si>
  <si>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</si>
  <si>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</si>
  <si>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</si>
  <si>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</si>
  <si>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</si>
  <si>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</si>
  <si>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</si>
  <si>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</si>
  <si>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</si>
  <si>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</si>
  <si>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June 30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</si>
</sst>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06_June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Supplier%20Counts/2019-05/Customer_count_files/2019/201906_June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52903.416999999965</v>
          </cell>
        </row>
        <row r="25">
          <cell r="H25">
            <v>124386.092</v>
          </cell>
        </row>
        <row r="26">
          <cell r="H26">
            <v>77632.750999999989</v>
          </cell>
        </row>
        <row r="29">
          <cell r="H29">
            <v>108709.872</v>
          </cell>
        </row>
        <row r="30">
          <cell r="H30">
            <v>50914.37200000001</v>
          </cell>
        </row>
        <row r="31">
          <cell r="H31">
            <v>4968.4600000000009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90768</v>
          </cell>
        </row>
        <row r="19">
          <cell r="B19">
            <v>19791</v>
          </cell>
        </row>
        <row r="20">
          <cell r="B20">
            <v>216</v>
          </cell>
        </row>
        <row r="22">
          <cell r="B22">
            <v>209762</v>
          </cell>
        </row>
        <row r="23">
          <cell r="B23">
            <v>18005</v>
          </cell>
        </row>
        <row r="24">
          <cell r="B24">
            <v>23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zoomScaleNormal="100" workbookViewId="0">
      <selection activeCell="F11" sqref="F11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">
      <c r="A6" s="111" t="s">
        <v>93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 x14ac:dyDescent="0.2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 x14ac:dyDescent="0.2">
      <c r="A11" s="39" t="s">
        <v>10</v>
      </c>
      <c r="B11" s="68">
        <f>[1]Check!$H$24</f>
        <v>52903.416999999965</v>
      </c>
      <c r="C11" s="40">
        <f>IF(B11=0,0,B11/$B$13)</f>
        <v>0.32734571103246329</v>
      </c>
      <c r="D11" s="68">
        <f>[1]Check!$H$25</f>
        <v>124386.092</v>
      </c>
      <c r="E11" s="40">
        <f>IF(D11=0,0,D11/$D$13)</f>
        <v>0.70955939968304937</v>
      </c>
      <c r="F11" s="68">
        <f>[1]Check!$H$26</f>
        <v>77632.750999999989</v>
      </c>
      <c r="G11" s="40">
        <f>IF(F11=0,0,F11/$F$13)</f>
        <v>0.93985003440203796</v>
      </c>
      <c r="H11" s="41">
        <f>IF(B11+D11+F11=0,0,B11+D11+F11)</f>
        <v>254922.25999999995</v>
      </c>
      <c r="I11" s="40">
        <f>IF(H11=0,0,H11/$H$13)</f>
        <v>0.60765951605006396</v>
      </c>
    </row>
    <row r="12" spans="1:15" ht="18" customHeight="1" x14ac:dyDescent="0.2">
      <c r="A12" s="39" t="s">
        <v>11</v>
      </c>
      <c r="B12" s="69">
        <f>[1]Check!$H$29</f>
        <v>108709.872</v>
      </c>
      <c r="C12" s="40">
        <f>IF(B12=0,0,B12/$B$13)</f>
        <v>0.67265428896753676</v>
      </c>
      <c r="D12" s="69">
        <f>[1]Check!$H$30</f>
        <v>50914.37200000001</v>
      </c>
      <c r="E12" s="40">
        <f>IF(D12=0,0,D12/$D$13)</f>
        <v>0.29044060031695074</v>
      </c>
      <c r="F12" s="69">
        <f>[1]Check!$H$31</f>
        <v>4968.4600000000009</v>
      </c>
      <c r="G12" s="40">
        <f>IF(F12=0,0,F12/$F$13)</f>
        <v>6.0149965597962013E-2</v>
      </c>
      <c r="H12" s="102">
        <f>IF(B12+D12+F12=0,0,B12+D12+F12)</f>
        <v>164592.704</v>
      </c>
      <c r="I12" s="40">
        <f>IF(H12=0,0,H12/$H$13)</f>
        <v>0.39234048394993615</v>
      </c>
    </row>
    <row r="13" spans="1:15" ht="18" customHeight="1" x14ac:dyDescent="0.2">
      <c r="A13" s="107" t="s">
        <v>6</v>
      </c>
      <c r="B13" s="42">
        <f>SUM(B11:B12)</f>
        <v>161613.28899999996</v>
      </c>
      <c r="C13" s="43"/>
      <c r="D13" s="42">
        <f>SUM(D11:D12)</f>
        <v>175300.46400000001</v>
      </c>
      <c r="E13" s="43"/>
      <c r="F13" s="42">
        <f>SUM(F11:F12)</f>
        <v>82601.210999999996</v>
      </c>
      <c r="G13" s="43"/>
      <c r="H13" s="42">
        <f>IF(H11+H12=0,0,H11+H12)</f>
        <v>419514.96399999992</v>
      </c>
      <c r="I13" s="44"/>
    </row>
    <row r="14" spans="1:15" ht="18" customHeight="1" x14ac:dyDescent="0.2">
      <c r="A14" s="99" t="str">
        <f>"As the above table shows, "&amp;TEXT(H11,"0,000")&amp; " MWh, or "&amp;TEXT(I11,"0.0%")&amp;" of UI's total load is served by electric suppliers"</f>
        <v>As the above table shows, 254,922 MWh, or 60.8%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164,593 MHh, or 39.2%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 x14ac:dyDescent="0.25">
      <c r="G16" s="49"/>
      <c r="H16" s="27"/>
    </row>
    <row r="17" spans="1:17" ht="18" customHeight="1" x14ac:dyDescent="0.2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 x14ac:dyDescent="0.2">
      <c r="A20" s="39" t="str">
        <f>A11</f>
        <v>Suppliers</v>
      </c>
      <c r="B20" s="68">
        <f>[2]Summary!$B$18</f>
        <v>90768</v>
      </c>
      <c r="C20" s="40">
        <f>IF(B20=0,0,B20/$B$22)</f>
        <v>0.3020264199913486</v>
      </c>
      <c r="D20" s="68">
        <f>[2]Summary!$B$19</f>
        <v>19791</v>
      </c>
      <c r="E20" s="53">
        <f>IF(D20=0,0,D20/$D$22)</f>
        <v>0.52362683881892269</v>
      </c>
      <c r="F20" s="68">
        <f>[2]Summary!$B$20</f>
        <v>216</v>
      </c>
      <c r="G20" s="40">
        <f>IF(F20=0,0,F20/$F$22)</f>
        <v>0.90376569037656906</v>
      </c>
      <c r="H20" s="41">
        <f>IF(B20+D20+F20=0,0,B20+D20+F20)</f>
        <v>110775</v>
      </c>
      <c r="I20" s="40">
        <f>IF(H20=0,0,H20/$H$22)</f>
        <v>0.32718975676753353</v>
      </c>
      <c r="J20" s="54"/>
      <c r="K20" s="54"/>
      <c r="M20" s="101"/>
    </row>
    <row r="21" spans="1:17" ht="18" customHeight="1" x14ac:dyDescent="0.2">
      <c r="A21" s="39" t="str">
        <f>A12</f>
        <v>UI</v>
      </c>
      <c r="B21" s="69">
        <f>[2]Summary!$B$22</f>
        <v>209762</v>
      </c>
      <c r="C21" s="40">
        <f>IF(B21=0,0,B21/$B$22)</f>
        <v>0.6979735800086514</v>
      </c>
      <c r="D21" s="69">
        <f>[2]Summary!$B$23</f>
        <v>18005</v>
      </c>
      <c r="E21" s="53">
        <f>IF(D21=0,0,D21/$D$22)</f>
        <v>0.47637316118107736</v>
      </c>
      <c r="F21" s="69">
        <f>[2]Summary!$B$24</f>
        <v>23</v>
      </c>
      <c r="G21" s="40">
        <f>IF(F21=0,0,F21/$F$22)</f>
        <v>9.6234309623430964E-2</v>
      </c>
      <c r="H21" s="69">
        <f>IF(B21+D21+F21=0,0,B21+D21+F21)</f>
        <v>227790</v>
      </c>
      <c r="I21" s="40">
        <f>IF(H21=0,0,H21/$H$22)</f>
        <v>0.67281024323246641</v>
      </c>
    </row>
    <row r="22" spans="1:17" ht="18" customHeight="1" x14ac:dyDescent="0.2">
      <c r="A22" s="39" t="str">
        <f>A13</f>
        <v>Total</v>
      </c>
      <c r="B22" s="42">
        <f>SUM(B20:B21)</f>
        <v>300530</v>
      </c>
      <c r="C22" s="55"/>
      <c r="D22" s="42">
        <f>SUM(D20:D21)</f>
        <v>37796</v>
      </c>
      <c r="E22" s="43"/>
      <c r="F22" s="42">
        <f>SUM(F20:F21)</f>
        <v>239</v>
      </c>
      <c r="G22" s="43"/>
      <c r="H22" s="42">
        <f>IF(H20+H21=0,0,H20+H21)</f>
        <v>338565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110,775 of UI's total customers, or 32.7%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227,790 or 67.3%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5" x14ac:dyDescent="0.2">
      <c r="A28" s="66" t="s">
        <v>27</v>
      </c>
      <c r="I28" s="101"/>
    </row>
    <row r="29" spans="1:17" ht="13.5" x14ac:dyDescent="0.2">
      <c r="A29" s="66" t="s">
        <v>31</v>
      </c>
    </row>
    <row r="30" spans="1:17" ht="13.5" x14ac:dyDescent="0.2">
      <c r="A30" s="66" t="s">
        <v>49</v>
      </c>
    </row>
    <row r="31" spans="1:17" x14ac:dyDescent="0.2">
      <c r="A31" s="67" t="s">
        <v>17</v>
      </c>
    </row>
    <row r="32" spans="1:17" x14ac:dyDescent="0.2">
      <c r="A32" s="67" t="s">
        <v>23</v>
      </c>
    </row>
    <row r="36" spans="1:1" x14ac:dyDescent="0.2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showZeros="0" topLeftCell="A22" zoomScaleNormal="100" workbookViewId="0">
      <selection activeCell="I47" sqref="I47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 x14ac:dyDescent="0.2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">
      <c r="A3" s="12" t="s">
        <v>92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">
      <c r="A5" s="9" t="str">
        <f>'Summary Load Customers '!A6</f>
        <v>Data as of June 30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">
      <c r="A6" s="15"/>
      <c r="B6" s="5"/>
      <c r="C6" s="16"/>
      <c r="D6" s="16"/>
      <c r="E6" s="10"/>
      <c r="F6" s="10"/>
    </row>
    <row r="7" spans="1:11" s="8" customFormat="1" ht="18" customHeight="1" x14ac:dyDescent="0.2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 x14ac:dyDescent="0.2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 x14ac:dyDescent="0.25">
      <c r="A9" s="105">
        <v>1</v>
      </c>
      <c r="B9" t="s">
        <v>59</v>
      </c>
      <c r="C9" s="112">
        <v>155</v>
      </c>
      <c r="D9" s="113">
        <v>172</v>
      </c>
      <c r="E9" s="114">
        <v>327</v>
      </c>
      <c r="F9" s="21">
        <f t="shared" ref="F9:F46" si="0">IF(E9=0,"",E9/$E$47)</f>
        <v>2.9525692770268441E-3</v>
      </c>
    </row>
    <row r="10" spans="1:11" ht="14.25" customHeight="1" x14ac:dyDescent="0.25">
      <c r="A10" s="105">
        <v>2</v>
      </c>
      <c r="B10" t="s">
        <v>56</v>
      </c>
      <c r="C10" s="115">
        <v>568</v>
      </c>
      <c r="D10" s="116">
        <v>1121</v>
      </c>
      <c r="E10" s="117">
        <v>1689</v>
      </c>
      <c r="F10" s="21">
        <f t="shared" si="0"/>
        <v>1.5250426632716635E-2</v>
      </c>
    </row>
    <row r="11" spans="1:11" ht="14.25" customHeight="1" x14ac:dyDescent="0.25">
      <c r="A11" s="105">
        <v>3</v>
      </c>
      <c r="B11" t="s">
        <v>50</v>
      </c>
      <c r="C11" s="115">
        <v>8947</v>
      </c>
      <c r="D11" s="116">
        <v>819</v>
      </c>
      <c r="E11" s="117">
        <v>9766</v>
      </c>
      <c r="F11" s="21">
        <f t="shared" si="0"/>
        <v>8.8179790701664096E-2</v>
      </c>
    </row>
    <row r="12" spans="1:11" ht="14.25" customHeight="1" x14ac:dyDescent="0.25">
      <c r="A12" s="105">
        <v>4</v>
      </c>
      <c r="B12" t="s">
        <v>60</v>
      </c>
      <c r="C12" s="115">
        <v>17</v>
      </c>
      <c r="D12" s="116">
        <v>3033</v>
      </c>
      <c r="E12" s="117">
        <v>3050</v>
      </c>
      <c r="F12" s="21">
        <f t="shared" si="0"/>
        <v>2.7539254724562305E-2</v>
      </c>
    </row>
    <row r="13" spans="1:11" ht="14.25" customHeight="1" x14ac:dyDescent="0.25">
      <c r="A13" s="105">
        <v>5</v>
      </c>
      <c r="B13" t="s">
        <v>61</v>
      </c>
      <c r="C13" s="115">
        <v>16</v>
      </c>
      <c r="D13" s="116">
        <v>178</v>
      </c>
      <c r="E13" s="117">
        <v>194</v>
      </c>
      <c r="F13" s="21">
        <f t="shared" si="0"/>
        <v>1.751677185759045E-3</v>
      </c>
    </row>
    <row r="14" spans="1:11" ht="14.25" customHeight="1" x14ac:dyDescent="0.25">
      <c r="A14" s="105">
        <v>6</v>
      </c>
      <c r="B14" t="s">
        <v>62</v>
      </c>
      <c r="C14" s="115">
        <v>529</v>
      </c>
      <c r="D14" s="116">
        <v>13</v>
      </c>
      <c r="E14" s="117">
        <v>542</v>
      </c>
      <c r="F14" s="21">
        <f t="shared" si="0"/>
        <v>4.8938610035123833E-3</v>
      </c>
    </row>
    <row r="15" spans="1:11" ht="14.25" customHeight="1" x14ac:dyDescent="0.25">
      <c r="A15" s="105">
        <v>7</v>
      </c>
      <c r="B15" t="s">
        <v>63</v>
      </c>
      <c r="C15" s="115">
        <v>7225</v>
      </c>
      <c r="D15" s="116">
        <v>306</v>
      </c>
      <c r="E15" s="117">
        <v>7531</v>
      </c>
      <c r="F15" s="21">
        <f t="shared" si="0"/>
        <v>6.7999386010058602E-2</v>
      </c>
    </row>
    <row r="16" spans="1:11" ht="14.25" customHeight="1" x14ac:dyDescent="0.25">
      <c r="A16" s="105">
        <v>8</v>
      </c>
      <c r="B16" t="s">
        <v>64</v>
      </c>
      <c r="C16" s="115">
        <v>556</v>
      </c>
      <c r="D16" s="116">
        <v>89</v>
      </c>
      <c r="E16" s="117">
        <v>645</v>
      </c>
      <c r="F16" s="21">
        <f t="shared" si="0"/>
        <v>5.8238751794566189E-3</v>
      </c>
    </row>
    <row r="17" spans="1:6" ht="14.25" customHeight="1" x14ac:dyDescent="0.25">
      <c r="A17" s="105">
        <v>9</v>
      </c>
      <c r="B17" t="s">
        <v>65</v>
      </c>
      <c r="C17" s="115">
        <v>902</v>
      </c>
      <c r="D17" s="116">
        <v>4453</v>
      </c>
      <c r="E17" s="117">
        <v>5355</v>
      </c>
      <c r="F17" s="21">
        <f t="shared" si="0"/>
        <v>4.8351707885256112E-2</v>
      </c>
    </row>
    <row r="18" spans="1:6" ht="14.25" customHeight="1" x14ac:dyDescent="0.25">
      <c r="A18" s="105">
        <v>10</v>
      </c>
      <c r="B18" t="s">
        <v>66</v>
      </c>
      <c r="C18" s="115">
        <v>7744</v>
      </c>
      <c r="D18" s="116">
        <v>762</v>
      </c>
      <c r="E18" s="117">
        <v>8506</v>
      </c>
      <c r="F18" s="21">
        <f t="shared" si="0"/>
        <v>7.6802918258074421E-2</v>
      </c>
    </row>
    <row r="19" spans="1:6" ht="14.25" customHeight="1" x14ac:dyDescent="0.25">
      <c r="A19" s="105">
        <v>11</v>
      </c>
      <c r="B19" t="s">
        <v>57</v>
      </c>
      <c r="C19" s="115">
        <v>57</v>
      </c>
      <c r="D19" s="116">
        <v>1360</v>
      </c>
      <c r="E19" s="117">
        <v>1417</v>
      </c>
      <c r="F19" s="21">
        <f t="shared" si="0"/>
        <v>1.2794466867116324E-2</v>
      </c>
    </row>
    <row r="20" spans="1:6" ht="14.25" customHeight="1" x14ac:dyDescent="0.25">
      <c r="A20" s="105">
        <v>12</v>
      </c>
      <c r="B20" t="s">
        <v>67</v>
      </c>
      <c r="C20" s="115">
        <v>7544</v>
      </c>
      <c r="D20" s="116">
        <v>1886</v>
      </c>
      <c r="E20" s="117">
        <v>9430</v>
      </c>
      <c r="F20" s="21">
        <f t="shared" si="0"/>
        <v>8.5145958050040174E-2</v>
      </c>
    </row>
    <row r="21" spans="1:6" ht="14.25" customHeight="1" x14ac:dyDescent="0.25">
      <c r="A21" s="105">
        <v>13</v>
      </c>
      <c r="B21" t="s">
        <v>68</v>
      </c>
      <c r="C21" s="115">
        <v>4181</v>
      </c>
      <c r="D21" s="116">
        <v>276</v>
      </c>
      <c r="E21" s="117">
        <v>4457</v>
      </c>
      <c r="F21" s="21">
        <f t="shared" si="0"/>
        <v>4.0243428953237445E-2</v>
      </c>
    </row>
    <row r="22" spans="1:6" ht="14.25" customHeight="1" x14ac:dyDescent="0.25">
      <c r="A22" s="105">
        <v>14</v>
      </c>
      <c r="B22" t="s">
        <v>69</v>
      </c>
      <c r="C22" s="115"/>
      <c r="D22" s="116">
        <v>66</v>
      </c>
      <c r="E22" s="117">
        <v>66</v>
      </c>
      <c r="F22" s="21">
        <f t="shared" si="0"/>
        <v>5.9593141371184002E-4</v>
      </c>
    </row>
    <row r="23" spans="1:6" ht="14.25" customHeight="1" x14ac:dyDescent="0.25">
      <c r="A23" s="105">
        <v>15</v>
      </c>
      <c r="B23" t="s">
        <v>70</v>
      </c>
      <c r="C23" s="115">
        <v>4</v>
      </c>
      <c r="D23" s="116">
        <v>4</v>
      </c>
      <c r="E23" s="117">
        <v>8</v>
      </c>
      <c r="F23" s="21">
        <f t="shared" si="0"/>
        <v>7.2234110752950308E-5</v>
      </c>
    </row>
    <row r="24" spans="1:6" ht="14.25" customHeight="1" x14ac:dyDescent="0.25">
      <c r="A24" s="105">
        <v>16</v>
      </c>
      <c r="B24" t="s">
        <v>71</v>
      </c>
      <c r="C24" s="115">
        <v>455</v>
      </c>
      <c r="D24" s="116">
        <v>103</v>
      </c>
      <c r="E24" s="117">
        <v>558</v>
      </c>
      <c r="F24" s="21">
        <f t="shared" si="0"/>
        <v>5.0383292250182846E-3</v>
      </c>
    </row>
    <row r="25" spans="1:6" ht="14.25" customHeight="1" x14ac:dyDescent="0.25">
      <c r="A25" s="105">
        <v>17</v>
      </c>
      <c r="B25" t="s">
        <v>72</v>
      </c>
      <c r="C25" s="115">
        <v>34</v>
      </c>
      <c r="D25" s="116"/>
      <c r="E25" s="117">
        <v>34</v>
      </c>
      <c r="F25" s="21">
        <f t="shared" si="0"/>
        <v>3.0699497070003884E-4</v>
      </c>
    </row>
    <row r="26" spans="1:6" ht="14.25" customHeight="1" x14ac:dyDescent="0.25">
      <c r="A26" s="105">
        <v>18</v>
      </c>
      <c r="B26" t="s">
        <v>73</v>
      </c>
      <c r="C26" s="115">
        <v>319</v>
      </c>
      <c r="D26" s="116">
        <v>1137</v>
      </c>
      <c r="E26" s="117">
        <v>1456</v>
      </c>
      <c r="F26" s="21">
        <f t="shared" si="0"/>
        <v>1.3146608157036957E-2</v>
      </c>
    </row>
    <row r="27" spans="1:6" ht="14.25" customHeight="1" x14ac:dyDescent="0.25">
      <c r="A27" s="105">
        <v>19</v>
      </c>
      <c r="B27" t="s">
        <v>74</v>
      </c>
      <c r="C27" s="115">
        <v>275</v>
      </c>
      <c r="D27" s="116">
        <v>94</v>
      </c>
      <c r="E27" s="117">
        <v>369</v>
      </c>
      <c r="F27" s="21">
        <f t="shared" si="0"/>
        <v>3.331798358479833E-3</v>
      </c>
    </row>
    <row r="28" spans="1:6" ht="14.25" customHeight="1" x14ac:dyDescent="0.25">
      <c r="A28" s="105">
        <v>20</v>
      </c>
      <c r="B28" t="s">
        <v>12</v>
      </c>
      <c r="C28" s="115">
        <v>6706</v>
      </c>
      <c r="D28" s="116">
        <v>422</v>
      </c>
      <c r="E28" s="117">
        <v>7128</v>
      </c>
      <c r="F28" s="21">
        <f t="shared" si="0"/>
        <v>6.4360592680878723E-2</v>
      </c>
    </row>
    <row r="29" spans="1:6" ht="14.25" customHeight="1" x14ac:dyDescent="0.25">
      <c r="A29" s="105">
        <v>21</v>
      </c>
      <c r="B29" t="s">
        <v>75</v>
      </c>
      <c r="C29" s="115">
        <v>1097</v>
      </c>
      <c r="D29" s="116">
        <v>24</v>
      </c>
      <c r="E29" s="117">
        <v>1121</v>
      </c>
      <c r="F29" s="21">
        <f t="shared" si="0"/>
        <v>1.0121804769257163E-2</v>
      </c>
    </row>
    <row r="30" spans="1:6" ht="14.25" customHeight="1" x14ac:dyDescent="0.25">
      <c r="A30" s="105">
        <v>22</v>
      </c>
      <c r="B30" t="s">
        <v>76</v>
      </c>
      <c r="C30" s="115">
        <v>180</v>
      </c>
      <c r="D30" s="116">
        <v>100</v>
      </c>
      <c r="E30" s="117">
        <v>280</v>
      </c>
      <c r="F30" s="21">
        <f t="shared" si="0"/>
        <v>2.528193876353261E-3</v>
      </c>
    </row>
    <row r="31" spans="1:6" ht="14.25" customHeight="1" x14ac:dyDescent="0.25">
      <c r="A31" s="105">
        <v>23</v>
      </c>
      <c r="B31" t="s">
        <v>77</v>
      </c>
      <c r="C31" s="115">
        <v>8</v>
      </c>
      <c r="D31" s="116">
        <v>1</v>
      </c>
      <c r="E31" s="117">
        <v>9</v>
      </c>
      <c r="F31" s="21">
        <f t="shared" si="0"/>
        <v>8.12633745970691E-5</v>
      </c>
    </row>
    <row r="32" spans="1:6" ht="14.25" customHeight="1" x14ac:dyDescent="0.25">
      <c r="A32" s="105">
        <v>24</v>
      </c>
      <c r="B32" t="s">
        <v>78</v>
      </c>
      <c r="C32" s="115">
        <v>214</v>
      </c>
      <c r="D32" s="116">
        <v>316</v>
      </c>
      <c r="E32" s="117">
        <v>530</v>
      </c>
      <c r="F32" s="21">
        <f t="shared" si="0"/>
        <v>4.7855098373829584E-3</v>
      </c>
    </row>
    <row r="33" spans="1:7" ht="14.25" customHeight="1" x14ac:dyDescent="0.25">
      <c r="A33" s="105">
        <v>25</v>
      </c>
      <c r="B33" t="s">
        <v>79</v>
      </c>
      <c r="C33" s="115">
        <v>8414</v>
      </c>
      <c r="D33" s="116">
        <v>222</v>
      </c>
      <c r="E33" s="117">
        <v>8636</v>
      </c>
      <c r="F33" s="21">
        <f t="shared" si="0"/>
        <v>7.7976722557809866E-2</v>
      </c>
    </row>
    <row r="34" spans="1:7" ht="14.25" customHeight="1" x14ac:dyDescent="0.25">
      <c r="A34" s="105">
        <v>26</v>
      </c>
      <c r="B34" t="s">
        <v>80</v>
      </c>
      <c r="C34" s="115">
        <v>964</v>
      </c>
      <c r="D34" s="116">
        <v>227</v>
      </c>
      <c r="E34" s="117">
        <v>1191</v>
      </c>
      <c r="F34" s="21">
        <f t="shared" si="0"/>
        <v>1.0753853238345478E-2</v>
      </c>
    </row>
    <row r="35" spans="1:7" ht="14.25" customHeight="1" x14ac:dyDescent="0.25">
      <c r="A35" s="105">
        <v>27</v>
      </c>
      <c r="B35" t="s">
        <v>81</v>
      </c>
      <c r="C35" s="115">
        <v>1</v>
      </c>
      <c r="D35" s="116"/>
      <c r="E35" s="117">
        <v>1</v>
      </c>
      <c r="F35" s="21">
        <f t="shared" si="0"/>
        <v>9.0292638441187886E-6</v>
      </c>
    </row>
    <row r="36" spans="1:7" ht="14.25" customHeight="1" x14ac:dyDescent="0.25">
      <c r="A36" s="105">
        <v>28</v>
      </c>
      <c r="B36" t="s">
        <v>82</v>
      </c>
      <c r="C36" s="115">
        <v>4693</v>
      </c>
      <c r="D36" s="116">
        <v>933</v>
      </c>
      <c r="E36" s="117">
        <v>5626</v>
      </c>
      <c r="F36" s="21">
        <f t="shared" si="0"/>
        <v>5.0798638387012304E-2</v>
      </c>
    </row>
    <row r="37" spans="1:7" ht="14.25" customHeight="1" x14ac:dyDescent="0.25">
      <c r="A37" s="105">
        <v>29</v>
      </c>
      <c r="B37" t="s">
        <v>83</v>
      </c>
      <c r="C37" s="115">
        <v>444</v>
      </c>
      <c r="D37" s="116">
        <v>117</v>
      </c>
      <c r="E37" s="117">
        <v>561</v>
      </c>
      <c r="F37" s="21">
        <f t="shared" si="0"/>
        <v>5.0654170165506402E-3</v>
      </c>
    </row>
    <row r="38" spans="1:7" ht="14.25" customHeight="1" x14ac:dyDescent="0.25">
      <c r="A38" s="105">
        <v>30</v>
      </c>
      <c r="B38" t="s">
        <v>84</v>
      </c>
      <c r="C38" s="115">
        <v>2595</v>
      </c>
      <c r="D38" s="116">
        <v>192</v>
      </c>
      <c r="E38" s="117">
        <v>2787</v>
      </c>
      <c r="F38" s="21">
        <f t="shared" si="0"/>
        <v>2.5164558333559066E-2</v>
      </c>
    </row>
    <row r="39" spans="1:7" ht="14.25" customHeight="1" x14ac:dyDescent="0.25">
      <c r="A39" s="105">
        <v>31</v>
      </c>
      <c r="B39" t="s">
        <v>85</v>
      </c>
      <c r="C39" s="115">
        <v>1630</v>
      </c>
      <c r="D39" s="116">
        <v>166</v>
      </c>
      <c r="E39" s="117">
        <v>1796</v>
      </c>
      <c r="F39" s="21">
        <f t="shared" si="0"/>
        <v>1.6216557864037345E-2</v>
      </c>
    </row>
    <row r="40" spans="1:7" ht="14.25" customHeight="1" x14ac:dyDescent="0.25">
      <c r="A40" s="105">
        <v>32</v>
      </c>
      <c r="B40" t="s">
        <v>86</v>
      </c>
      <c r="C40" s="115"/>
      <c r="D40" s="116">
        <v>13</v>
      </c>
      <c r="E40" s="117">
        <v>13</v>
      </c>
      <c r="F40" s="21">
        <f t="shared" si="0"/>
        <v>1.1738042997354425E-4</v>
      </c>
    </row>
    <row r="41" spans="1:7" ht="14.25" customHeight="1" x14ac:dyDescent="0.25">
      <c r="A41" s="105">
        <v>33</v>
      </c>
      <c r="B41" t="s">
        <v>54</v>
      </c>
      <c r="C41" s="115">
        <v>3114</v>
      </c>
      <c r="D41" s="116">
        <v>105</v>
      </c>
      <c r="E41" s="117">
        <v>3219</v>
      </c>
      <c r="F41" s="21">
        <f t="shared" si="0"/>
        <v>2.9065200314218383E-2</v>
      </c>
    </row>
    <row r="42" spans="1:7" ht="14.25" customHeight="1" x14ac:dyDescent="0.25">
      <c r="A42" s="105">
        <v>34</v>
      </c>
      <c r="B42" t="s">
        <v>87</v>
      </c>
      <c r="C42" s="115">
        <v>11932</v>
      </c>
      <c r="D42" s="116">
        <v>264</v>
      </c>
      <c r="E42" s="117">
        <v>12196</v>
      </c>
      <c r="F42" s="21">
        <f t="shared" si="0"/>
        <v>0.11012090184287275</v>
      </c>
    </row>
    <row r="43" spans="1:7" ht="14.25" customHeight="1" x14ac:dyDescent="0.25">
      <c r="A43" s="105">
        <v>35</v>
      </c>
      <c r="B43" t="s">
        <v>88</v>
      </c>
      <c r="C43" s="115">
        <v>5937</v>
      </c>
      <c r="D43" s="116">
        <v>512</v>
      </c>
      <c r="E43" s="117">
        <v>6449</v>
      </c>
      <c r="F43" s="21">
        <f t="shared" si="0"/>
        <v>5.8229722530722068E-2</v>
      </c>
    </row>
    <row r="44" spans="1:7" ht="15" x14ac:dyDescent="0.25">
      <c r="A44" s="105">
        <v>36</v>
      </c>
      <c r="B44" t="s">
        <v>89</v>
      </c>
      <c r="C44" s="115">
        <v>572</v>
      </c>
      <c r="D44" s="116">
        <v>99</v>
      </c>
      <c r="E44" s="117">
        <v>671</v>
      </c>
      <c r="F44" s="21">
        <f t="shared" si="0"/>
        <v>6.0586360394037078E-3</v>
      </c>
    </row>
    <row r="45" spans="1:7" ht="15" x14ac:dyDescent="0.25">
      <c r="A45" s="105">
        <v>37</v>
      </c>
      <c r="B45" t="s">
        <v>91</v>
      </c>
      <c r="C45" s="115">
        <v>40</v>
      </c>
      <c r="D45" s="116">
        <v>16</v>
      </c>
      <c r="E45" s="117">
        <v>56</v>
      </c>
      <c r="F45" s="21">
        <f t="shared" si="0"/>
        <v>5.0563877527065213E-4</v>
      </c>
      <c r="G45" s="109"/>
    </row>
    <row r="46" spans="1:7" ht="15" x14ac:dyDescent="0.25">
      <c r="A46" s="105">
        <v>38</v>
      </c>
      <c r="B46" t="s">
        <v>90</v>
      </c>
      <c r="C46" s="115">
        <v>2699</v>
      </c>
      <c r="D46" s="116">
        <v>382</v>
      </c>
      <c r="E46" s="117">
        <v>3081</v>
      </c>
      <c r="F46" s="21">
        <f t="shared" si="0"/>
        <v>2.7819161903729989E-2</v>
      </c>
    </row>
    <row r="47" spans="1:7" x14ac:dyDescent="0.2">
      <c r="A47" s="105"/>
      <c r="B47" s="108" t="s">
        <v>58</v>
      </c>
      <c r="C47" s="118">
        <v>90768</v>
      </c>
      <c r="D47" s="119">
        <v>19983</v>
      </c>
      <c r="E47" s="120">
        <v>110751</v>
      </c>
      <c r="F47" s="21">
        <f>SUM(F9:F46)</f>
        <v>0.99999999999999967</v>
      </c>
    </row>
    <row r="48" spans="1:7" x14ac:dyDescent="0.2">
      <c r="A48" s="106"/>
    </row>
    <row r="49" spans="1:10" x14ac:dyDescent="0.2">
      <c r="A49" s="1" t="s">
        <v>22</v>
      </c>
      <c r="B49" s="103"/>
    </row>
    <row r="50" spans="1:10" x14ac:dyDescent="0.2">
      <c r="A50" s="1" t="s">
        <v>21</v>
      </c>
      <c r="J50" s="104"/>
    </row>
    <row r="51" spans="1:10" x14ac:dyDescent="0.2">
      <c r="A51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 x14ac:dyDescent="0.2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">
      <c r="A6" s="9" t="str">
        <f>'Summary Load Customers '!A6</f>
        <v>Data as of June 30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25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3">
      <c r="B9" s="27"/>
      <c r="C9" s="27"/>
      <c r="D9" s="58"/>
      <c r="E9" s="58"/>
      <c r="F9" s="65"/>
      <c r="G9" s="65"/>
      <c r="H9" s="27"/>
    </row>
    <row r="10" spans="1:9" ht="18" customHeight="1" x14ac:dyDescent="0.2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 x14ac:dyDescent="0.2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 x14ac:dyDescent="0.2">
      <c r="A13" s="39" t="s">
        <v>43</v>
      </c>
      <c r="B13" s="42">
        <f>REC_programs_detail!B23</f>
        <v>3335</v>
      </c>
      <c r="C13" s="43">
        <f>IF(B13=0,0,B13/'Summary Load Customers '!$B$22)</f>
        <v>1.1097061857385286E-2</v>
      </c>
      <c r="D13" s="42">
        <f>REC_programs_detail!C23</f>
        <v>38</v>
      </c>
      <c r="E13" s="43">
        <f>IF(D13=0,0,D13/('Summary Load Customers '!$D$22+'Summary Load Customers '!$F$22))</f>
        <v>9.9907979492572631E-4</v>
      </c>
      <c r="F13" s="42">
        <f>B13+D13</f>
        <v>3373</v>
      </c>
      <c r="G13" s="43">
        <f>IF(F13=0,0,F13/'Summary Load Customers '!$H$22)</f>
        <v>9.9626364213666503E-3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3,373 of UI's customers, or 1.0%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 x14ac:dyDescent="0.2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 x14ac:dyDescent="0.2">
      <c r="A20" s="39" t="s">
        <v>44</v>
      </c>
      <c r="B20" s="42">
        <f>REC_programs_detail!B29</f>
        <v>622</v>
      </c>
      <c r="C20" s="43">
        <f>IF(B20=0,0,B20/'Summary Load Customers '!$B$22)</f>
        <v>2.0696769041360264E-3</v>
      </c>
      <c r="D20" s="42">
        <f>REC_programs_detail!C29</f>
        <v>58</v>
      </c>
      <c r="E20" s="43">
        <f>IF(D20=0,0,D20/('Summary Load Customers '!$D$22+'Summary Load Customers '!$F$22))</f>
        <v>1.5249112659392664E-3</v>
      </c>
      <c r="F20" s="42">
        <f>B20+D20</f>
        <v>680</v>
      </c>
      <c r="G20" s="43">
        <f>IF(F20=0,0,F20/'Summary Load Customers '!$H$22)</f>
        <v>2.0084769542037719E-3</v>
      </c>
    </row>
    <row r="21" spans="1:9" ht="18" customHeight="1" x14ac:dyDescent="0.2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">
      <c r="A22" s="99" t="str">
        <f>"As the above table shows, "&amp;TEXT(F20,"0,000")&amp;" of UI's customers, or "&amp;TEXT(G20,"0.0%")&amp;" are participating in the REC only program."</f>
        <v>As the above table shows, 0,680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 x14ac:dyDescent="0.2">
      <c r="A23" s="45"/>
    </row>
    <row r="24" spans="1:9" ht="15" x14ac:dyDescent="0.2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 x14ac:dyDescent="0.2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 x14ac:dyDescent="0.2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 x14ac:dyDescent="0.2">
      <c r="A27" s="39" t="s">
        <v>45</v>
      </c>
      <c r="B27" s="42">
        <f>B13+B20</f>
        <v>3957</v>
      </c>
      <c r="C27" s="43">
        <f>IF(B27=0,0,B27/'Summary Load Customers '!$B$22)</f>
        <v>1.3166738761521312E-2</v>
      </c>
      <c r="D27" s="42">
        <f>D13+D20</f>
        <v>96</v>
      </c>
      <c r="E27" s="43">
        <f>IF(D27=0,0,D27/('Summary Load Customers '!$D$22+'Summary Load Customers '!$F$22))</f>
        <v>2.5239910608649929E-3</v>
      </c>
      <c r="F27" s="42">
        <f>B27+D27</f>
        <v>4053</v>
      </c>
      <c r="G27" s="43">
        <f>IF(F27=0,0,F27/'Summary Load Customers '!$H$22)</f>
        <v>1.1971113375570422E-2</v>
      </c>
    </row>
    <row r="28" spans="1:9" ht="15" x14ac:dyDescent="0.25">
      <c r="G28" s="49"/>
      <c r="H28" s="27"/>
    </row>
    <row r="29" spans="1:9" ht="15" x14ac:dyDescent="0.25">
      <c r="A29" s="99" t="str">
        <f>"As the above table shows, "&amp;TEXT(F27,"0,000")&amp;" of UI's customers, or "&amp;TEXT(G27,"0.0%")&amp;" are participating in the combined REC programs."</f>
        <v>As the above table shows, 4,053 of UI's customers, or 1.2% are participating in the combined REC programs.</v>
      </c>
      <c r="G29" s="49"/>
      <c r="H29" s="27"/>
    </row>
    <row r="31" spans="1:9" ht="13.5" x14ac:dyDescent="0.2">
      <c r="A31" s="66" t="s">
        <v>31</v>
      </c>
    </row>
    <row r="32" spans="1:9" ht="13.5" x14ac:dyDescent="0.2">
      <c r="A32" s="66"/>
    </row>
    <row r="33" spans="1:1" ht="13.5" x14ac:dyDescent="0.2">
      <c r="A33" s="66" t="s">
        <v>53</v>
      </c>
    </row>
    <row r="34" spans="1:1" x14ac:dyDescent="0.2">
      <c r="A34" s="67" t="s">
        <v>51</v>
      </c>
    </row>
    <row r="36" spans="1:1" x14ac:dyDescent="0.2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abSelected="1" topLeftCell="A7" zoomScale="110" zoomScaleNormal="110" workbookViewId="0">
      <selection activeCell="B28" sqref="B28"/>
    </sheetView>
  </sheetViews>
  <sheetFormatPr defaultColWidth="9.140625" defaultRowHeight="11.25" x14ac:dyDescent="0.2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 x14ac:dyDescent="0.2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 x14ac:dyDescent="0.2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 x14ac:dyDescent="0.2">
      <c r="A5" s="122" t="str">
        <f>'Summary Load Customers '!A6</f>
        <v>Data as of June 30 2019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2.5" x14ac:dyDescent="0.2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 x14ac:dyDescent="0.2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14</v>
      </c>
      <c r="B9" s="84">
        <v>124</v>
      </c>
      <c r="C9" s="84">
        <v>2</v>
      </c>
      <c r="D9" s="85">
        <f>SUM(B9:C9)</f>
        <v>126</v>
      </c>
      <c r="E9" s="87"/>
      <c r="F9" s="87"/>
      <c r="G9" s="86"/>
      <c r="H9" s="75"/>
    </row>
    <row r="10" spans="1:9" x14ac:dyDescent="0.2">
      <c r="A10" s="82" t="s">
        <v>15</v>
      </c>
      <c r="B10" s="84">
        <v>2737</v>
      </c>
      <c r="C10" s="84">
        <v>35</v>
      </c>
      <c r="D10" s="85">
        <f>SUM(B10:C10)</f>
        <v>2772</v>
      </c>
      <c r="E10" s="88"/>
      <c r="F10" s="89"/>
      <c r="G10" s="86"/>
      <c r="H10" s="75"/>
    </row>
    <row r="11" spans="1:9" x14ac:dyDescent="0.2">
      <c r="A11" s="90" t="s">
        <v>6</v>
      </c>
      <c r="B11" s="91">
        <f>IF(B9+B10=0,0,B9+B10)</f>
        <v>2861</v>
      </c>
      <c r="C11" s="91">
        <f>IF(SUM(C8:C10)=0,0,SUM(C8:C10))</f>
        <v>37</v>
      </c>
      <c r="D11" s="91">
        <f>IF(SUM(D8:D10)=0,0,SUM(D8:D10))</f>
        <v>2898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2.5" x14ac:dyDescent="0.2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 x14ac:dyDescent="0.2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 x14ac:dyDescent="0.2">
      <c r="A16" s="82" t="s">
        <v>15</v>
      </c>
      <c r="B16" s="84">
        <v>472</v>
      </c>
      <c r="C16" s="84">
        <v>1</v>
      </c>
      <c r="D16" s="85">
        <f>SUM(B16:C16)</f>
        <v>473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474</v>
      </c>
      <c r="C17" s="91">
        <f>IF(SUM(C14:C16)=0,0,SUM(C14:C16))</f>
        <v>1</v>
      </c>
      <c r="D17" s="91">
        <f>IF(SUM(D14:D16)=0,0,SUM(D14:D16))</f>
        <v>475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75"/>
      <c r="E18" s="88"/>
      <c r="F18" s="89"/>
      <c r="G18" s="93"/>
      <c r="H18" s="75"/>
    </row>
    <row r="19" spans="1:8" ht="22.5" x14ac:dyDescent="0.2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 x14ac:dyDescent="0.2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14</v>
      </c>
      <c r="B21" s="96">
        <f>IF(B9+B15=0,0,B9+B15)</f>
        <v>126</v>
      </c>
      <c r="C21" s="96">
        <f>IF(C9+C15=0,0,C9+C15)</f>
        <v>2</v>
      </c>
      <c r="D21" s="85">
        <f t="shared" si="0"/>
        <v>128</v>
      </c>
      <c r="E21" s="86"/>
      <c r="F21" s="93"/>
      <c r="G21" s="93"/>
      <c r="H21" s="75"/>
    </row>
    <row r="22" spans="1:8" x14ac:dyDescent="0.2">
      <c r="A22" s="82" t="s">
        <v>15</v>
      </c>
      <c r="B22" s="96">
        <f>IF(B10+B16=0,0,B10+B16)</f>
        <v>3209</v>
      </c>
      <c r="C22" s="96">
        <f>IF(C10+C16=0,0,C10+C16)</f>
        <v>36</v>
      </c>
      <c r="D22" s="85">
        <f>IF(D10+D16=0,0,D10+D16)</f>
        <v>3245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3335</v>
      </c>
      <c r="C23" s="91">
        <f>IF(SUM(C20:C22)=0,0,SUM(C20:C22))</f>
        <v>38</v>
      </c>
      <c r="D23" s="91">
        <f>SUM(D20:D22)</f>
        <v>3373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2.5" x14ac:dyDescent="0.2">
      <c r="A25" s="76" t="s">
        <v>37</v>
      </c>
      <c r="B25" s="76" t="s">
        <v>4</v>
      </c>
      <c r="C25" s="76" t="s">
        <v>5</v>
      </c>
      <c r="D25" s="76" t="s">
        <v>32</v>
      </c>
    </row>
    <row r="26" spans="1:8" x14ac:dyDescent="0.2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14</v>
      </c>
      <c r="B27" s="84">
        <v>183</v>
      </c>
      <c r="C27" s="84">
        <v>11</v>
      </c>
      <c r="D27" s="85">
        <f>SUM(B27:C27)</f>
        <v>194</v>
      </c>
    </row>
    <row r="28" spans="1:8" x14ac:dyDescent="0.2">
      <c r="A28" s="82" t="s">
        <v>15</v>
      </c>
      <c r="B28" s="84">
        <v>439</v>
      </c>
      <c r="C28" s="84">
        <v>47</v>
      </c>
      <c r="D28" s="85">
        <f>SUM(B28:C28)</f>
        <v>486</v>
      </c>
    </row>
    <row r="29" spans="1:8" x14ac:dyDescent="0.2">
      <c r="A29" s="90" t="str">
        <f>A23</f>
        <v>Total</v>
      </c>
      <c r="B29" s="110">
        <f>IF(B27+B28=0,0,B27+B28)</f>
        <v>622</v>
      </c>
      <c r="C29" s="91">
        <f>IF(SUM(C26:C28)=0,0,SUM(C26:C28))</f>
        <v>58</v>
      </c>
      <c r="D29" s="91">
        <f>IF(SUM(D26:D28)=0,0,SUM(D26:D28))</f>
        <v>680</v>
      </c>
    </row>
    <row r="31" spans="1:8" x14ac:dyDescent="0.2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 x14ac:dyDescent="0.2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14</v>
      </c>
      <c r="B33" s="96">
        <f>B21+B27</f>
        <v>309</v>
      </c>
      <c r="C33" s="96">
        <f t="shared" si="1"/>
        <v>13</v>
      </c>
      <c r="D33" s="85">
        <f t="shared" si="1"/>
        <v>322</v>
      </c>
      <c r="E33" s="75"/>
      <c r="F33" s="75"/>
      <c r="G33" s="75"/>
    </row>
    <row r="34" spans="1:7" x14ac:dyDescent="0.2">
      <c r="A34" s="82" t="s">
        <v>15</v>
      </c>
      <c r="B34" s="96">
        <f>B22+B28</f>
        <v>3648</v>
      </c>
      <c r="C34" s="96">
        <f t="shared" si="1"/>
        <v>83</v>
      </c>
      <c r="D34" s="85">
        <f t="shared" si="1"/>
        <v>3731</v>
      </c>
    </row>
    <row r="35" spans="1:7" x14ac:dyDescent="0.2">
      <c r="A35" s="90" t="str">
        <f>A29</f>
        <v>Total</v>
      </c>
      <c r="B35" s="91">
        <f>IF(B33+B34=0,0,B33+B34)</f>
        <v>3957</v>
      </c>
      <c r="C35" s="91">
        <f>IF(SUM(C32:C34)=0,0,SUM(C32:C34))</f>
        <v>96</v>
      </c>
      <c r="D35" s="91">
        <f>SUM(D32:D34)</f>
        <v>4053</v>
      </c>
    </row>
    <row r="37" spans="1:7" x14ac:dyDescent="0.2">
      <c r="A37" s="97" t="str">
        <f>"In summary, "&amp;TEXT($D$23,"0,000")&amp; " of UI's customers are participating in the CTCleanEnergyOptions Program"</f>
        <v>In summary, 3,373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680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4,053 of UI's customers are participating in all REC programs</v>
      </c>
    </row>
    <row r="41" spans="1:7" x14ac:dyDescent="0.2">
      <c r="A41" s="98" t="s">
        <v>20</v>
      </c>
    </row>
    <row r="42" spans="1:7" x14ac:dyDescent="0.2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2019-07-12T15:08:43Z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-860959154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