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105" yWindow="2325" windowWidth="20190" windowHeight="4410" tabRatio="838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  <externalReference r:id="rId6"/>
    <externalReference r:id="rId7"/>
  </externalReference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45621"/>
</workbook>
</file>

<file path=xl/calcChain.xml><?xml version="1.0" encoding="utf-8"?>
<calcChain xmlns="http://schemas.openxmlformats.org/spreadsheetml/2006/main">
  <c r="F21" i="7" l="1"/>
  <c r="F20" i="7"/>
  <c r="D21" i="7"/>
  <c r="D20" i="7"/>
  <c r="B21" i="7"/>
  <c r="B20" i="7"/>
  <c r="D11" i="7"/>
  <c r="F11" i="7"/>
  <c r="F12" i="7"/>
  <c r="D12" i="7"/>
  <c r="B12" i="7"/>
  <c r="B11" i="7"/>
  <c r="F9" i="6" l="1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 l="1"/>
  <c r="B32" i="5"/>
  <c r="C11" i="5" l="1"/>
  <c r="A5" i="6" l="1"/>
  <c r="B21" i="5" l="1"/>
  <c r="B33" i="5" s="1"/>
  <c r="C21" i="5"/>
  <c r="C33" i="5" s="1"/>
  <c r="C22" i="5"/>
  <c r="C34" i="5" s="1"/>
  <c r="B22" i="5"/>
  <c r="B34" i="5" s="1"/>
  <c r="A5" i="5" l="1"/>
  <c r="A6" i="8" l="1"/>
  <c r="B29" i="5"/>
  <c r="B20" i="8" s="1"/>
  <c r="F26" i="8"/>
  <c r="F19" i="8"/>
  <c r="F12" i="8"/>
  <c r="D8" i="5"/>
  <c r="D14" i="5"/>
  <c r="C20" i="5"/>
  <c r="C32" i="5" s="1"/>
  <c r="D9" i="5"/>
  <c r="D15" i="5"/>
  <c r="D27" i="5"/>
  <c r="D10" i="5"/>
  <c r="D16" i="5"/>
  <c r="D28" i="5"/>
  <c r="B22" i="7"/>
  <c r="D26" i="8"/>
  <c r="D19" i="8"/>
  <c r="D12" i="8"/>
  <c r="A23" i="5"/>
  <c r="A29" i="5" s="1"/>
  <c r="A35" i="5" s="1"/>
  <c r="C19" i="5"/>
  <c r="C31" i="5"/>
  <c r="A1" i="6"/>
  <c r="A1" i="5"/>
  <c r="C17" i="5"/>
  <c r="B11" i="5"/>
  <c r="B17" i="5"/>
  <c r="A22" i="7"/>
  <c r="A21" i="7"/>
  <c r="D10" i="7"/>
  <c r="F10" i="7"/>
  <c r="H10" i="7" s="1"/>
  <c r="D19" i="7"/>
  <c r="F19" i="7" s="1"/>
  <c r="H19" i="7" s="1"/>
  <c r="A20" i="7"/>
  <c r="A17" i="5"/>
  <c r="C13" i="5"/>
  <c r="C26" i="5"/>
  <c r="D26" i="5"/>
  <c r="C29" i="5"/>
  <c r="D20" i="8" s="1"/>
  <c r="C20" i="7" l="1"/>
  <c r="C21" i="7"/>
  <c r="D22" i="5"/>
  <c r="D34" i="5" s="1"/>
  <c r="D21" i="5"/>
  <c r="D33" i="5" s="1"/>
  <c r="F20" i="8"/>
  <c r="D29" i="5"/>
  <c r="A38" i="5" s="1"/>
  <c r="D17" i="5"/>
  <c r="C35" i="5"/>
  <c r="D11" i="5"/>
  <c r="B23" i="5"/>
  <c r="B13" i="8" s="1"/>
  <c r="C13" i="8" s="1"/>
  <c r="B35" i="5"/>
  <c r="C20" i="8"/>
  <c r="D32" i="5"/>
  <c r="C23" i="5"/>
  <c r="D13" i="8" s="1"/>
  <c r="F13" i="8" l="1"/>
  <c r="B27" i="8"/>
  <c r="C27" i="8" s="1"/>
  <c r="D35" i="5"/>
  <c r="A39" i="5" s="1"/>
  <c r="D23" i="5"/>
  <c r="A37" i="5" s="1"/>
  <c r="D27" i="8"/>
  <c r="F27" i="8" l="1"/>
  <c r="H21" i="7" l="1"/>
  <c r="F22" i="7" l="1"/>
  <c r="G21" i="7" s="1"/>
  <c r="G20" i="7" l="1"/>
  <c r="D22" i="7" l="1"/>
  <c r="E20" i="7" s="1"/>
  <c r="H20" i="7"/>
  <c r="H22" i="7" l="1"/>
  <c r="I20" i="7" s="1"/>
  <c r="A24" i="7" s="1"/>
  <c r="E21" i="7"/>
  <c r="E27" i="8"/>
  <c r="E20" i="8"/>
  <c r="E13" i="8"/>
  <c r="G13" i="8" l="1"/>
  <c r="A15" i="8" s="1"/>
  <c r="G27" i="8"/>
  <c r="A29" i="8" s="1"/>
  <c r="I21" i="7"/>
  <c r="A25" i="7" s="1"/>
  <c r="G20" i="8"/>
  <c r="A22" i="8" s="1"/>
  <c r="H12" i="7" l="1"/>
  <c r="B13" i="7"/>
  <c r="C11" i="7" s="1"/>
  <c r="C12" i="7" l="1"/>
  <c r="F13" i="7" l="1"/>
  <c r="G12" i="7" s="1"/>
  <c r="H11" i="7"/>
  <c r="D13" i="7"/>
  <c r="E12" i="7" s="1"/>
  <c r="G11" i="7" l="1"/>
  <c r="H13" i="7"/>
  <c r="I12" i="7" s="1"/>
  <c r="A15" i="7" s="1"/>
  <c r="E11" i="7"/>
  <c r="I11" i="7" l="1"/>
  <c r="A14" i="7" s="1"/>
</calcChain>
</file>

<file path=xl/sharedStrings.xml><?xml version="1.0" encoding="utf-8"?>
<sst xmlns="http://schemas.openxmlformats.org/spreadsheetml/2006/main" count="159" uniqueCount="93">
  <si>
    <t>The United Illuminating Company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</si>
  <si>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</si>
  <si>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</si>
  <si>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</si>
  <si>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</si>
  <si>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</si>
  <si>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</si>
  <si>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</si>
  <si>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</si>
  <si>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MWh</t>
  </si>
  <si>
    <t>Suppliers</t>
  </si>
  <si>
    <t>UI</t>
  </si>
  <si>
    <t>Liberty Power Holdings, LLC</t>
  </si>
  <si>
    <t>Customers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</si>
  <si>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</si>
  <si>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</si>
  <si>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</si>
  <si>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</si>
  <si>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</si>
  <si>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</si>
  <si>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</si>
  <si>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</si>
  <si>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</si>
  <si>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</si>
  <si>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</si>
  <si>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</si>
  <si>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</si>
  <si>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</si>
  <si>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</si>
  <si>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</si>
  <si>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</si>
  <si>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</si>
  <si>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</si>
  <si>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Summary Data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</si>
  <si>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</si>
  <si>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</si>
  <si>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</si>
  <si>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</si>
  <si>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</si>
  <si>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</si>
  <si>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</si>
  <si>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</si>
  <si>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</si>
  <si>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</si>
  <si>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</si>
  <si>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</si>
  <si>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</si>
  <si>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</si>
  <si>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</si>
  <si>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</si>
  <si>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Ambit Energy</t>
  </si>
  <si>
    <t xml:space="preserve">   customers support clean energy through a surcharge on their bill.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</si>
  <si>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</si>
  <si>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</si>
  <si>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Think Energy</t>
  </si>
  <si>
    <t>Attachment 1</t>
  </si>
  <si>
    <t>Agera Energy, LLC</t>
  </si>
  <si>
    <t>Direct Energy Business</t>
  </si>
  <si>
    <t>Totals</t>
  </si>
  <si>
    <t>Aequitas Energy, Inc</t>
  </si>
  <si>
    <t>Calpine Energy Solutions, LLC</t>
  </si>
  <si>
    <t>Champion Energy Services</t>
  </si>
  <si>
    <t>Choice Energy, LLC</t>
  </si>
  <si>
    <t>Clearview Energy,Inc</t>
  </si>
  <si>
    <t>Connecticut Gas &amp; Electric, Inc.</t>
  </si>
  <si>
    <t>Constellation NewEnergy - C&amp;I</t>
  </si>
  <si>
    <t>Constellation NewEnergy - MM</t>
  </si>
  <si>
    <t>Direct Energy Services</t>
  </si>
  <si>
    <t>Discount Power, Inc.</t>
  </si>
  <si>
    <t>EDF_Energy</t>
  </si>
  <si>
    <t>Eligo Energy CT, LLC</t>
  </si>
  <si>
    <t>Energy Plus Holdings LLC</t>
  </si>
  <si>
    <t>Energy Rewards</t>
  </si>
  <si>
    <t>ENGIE Resources Inc.</t>
  </si>
  <si>
    <t>First Point Power, LLC</t>
  </si>
  <si>
    <t>Major Energy Electric Services, LLC</t>
  </si>
  <si>
    <t>Mega Energy of New England</t>
  </si>
  <si>
    <t>National Gas &amp; Electric</t>
  </si>
  <si>
    <t>NextEra Energy Services Connecticut, LLC</t>
  </si>
  <si>
    <t>North American Power and Gas</t>
  </si>
  <si>
    <t>NRG Retail Solutions</t>
  </si>
  <si>
    <t>Public Power, LLC</t>
  </si>
  <si>
    <t>Spark Energy, L. P.</t>
  </si>
  <si>
    <t>Starion Energy inc.</t>
  </si>
  <si>
    <t>Sunwave Gas &amp; Power</t>
  </si>
  <si>
    <t>Texas Retail Energy</t>
  </si>
  <si>
    <t>Town Square Energy, LLC</t>
  </si>
  <si>
    <t>Verde Energy USA, Inc.</t>
  </si>
  <si>
    <t>Viridian Energy, Inc.</t>
  </si>
  <si>
    <t>XOOM Energy Connecticut, LLC</t>
  </si>
  <si>
    <t>Wattifi, Inc</t>
  </si>
  <si>
    <t>Electric Suppliers - Customer Count Data</t>
  </si>
  <si>
    <t>Data as of July 31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</si>
</sst>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5" formatCode="[$-409]mmmm\ d\,\ yyyy;@"/>
  </numFmts>
  <fonts count="2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6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Fill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164" fontId="8" fillId="0" borderId="0" xfId="0" applyNumberFormat="1" applyFont="1" applyFill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164" fontId="9" fillId="0" borderId="2" xfId="2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5" xfId="0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 vertical="center"/>
    </xf>
    <xf numFmtId="0" fontId="0" fillId="2" borderId="6" xfId="0" applyFill="1" applyBorder="1" applyAlignment="1" applyProtection="1">
      <alignment horizontal="centerContinuous" vertical="center"/>
    </xf>
    <xf numFmtId="9" fontId="3" fillId="2" borderId="6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8" xfId="2" applyNumberFormat="1" applyFont="1" applyFill="1" applyBorder="1" applyAlignment="1" applyProtection="1">
      <alignment horizontal="center"/>
    </xf>
    <xf numFmtId="3" fontId="4" fillId="2" borderId="7" xfId="0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 applyProtection="1">
      <alignment horizontal="center"/>
    </xf>
    <xf numFmtId="164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/>
    </xf>
    <xf numFmtId="0" fontId="0" fillId="2" borderId="6" xfId="0" applyFill="1" applyBorder="1" applyAlignment="1" applyProtection="1">
      <alignment horizontal="centerContinuous"/>
    </xf>
    <xf numFmtId="9" fontId="4" fillId="2" borderId="8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4" fillId="0" borderId="7" xfId="0" applyNumberFormat="1" applyFont="1" applyFill="1" applyBorder="1" applyAlignment="1" applyProtection="1">
      <alignment horizontal="center"/>
      <protection locked="0"/>
    </xf>
    <xf numFmtId="3" fontId="6" fillId="0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8" fillId="2" borderId="0" xfId="0" applyFont="1" applyFill="1" applyProtection="1"/>
    <xf numFmtId="3" fontId="6" fillId="2" borderId="7" xfId="0" applyNumberFormat="1" applyFont="1" applyFill="1" applyBorder="1" applyAlignment="1" applyProtection="1">
      <alignment horizontal="center"/>
    </xf>
    <xf numFmtId="14" fontId="10" fillId="0" borderId="0" xfId="0" applyNumberFormat="1" applyFont="1" applyFill="1" applyProtection="1"/>
    <xf numFmtId="0" fontId="8" fillId="0" borderId="0" xfId="0" applyFont="1" applyFill="1" applyProtection="1"/>
    <xf numFmtId="3" fontId="1" fillId="0" borderId="2" xfId="3" applyNumberFormat="1" applyFont="1" applyFill="1" applyBorder="1" applyAlignment="1" applyProtection="1">
      <alignment horizontal="center"/>
    </xf>
    <xf numFmtId="3" fontId="1" fillId="0" borderId="0" xfId="3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3" fontId="0" fillId="0" borderId="2" xfId="0" applyNumberFormat="1" applyBorder="1" applyAlignment="1">
      <alignment vertical="top"/>
    </xf>
    <xf numFmtId="164" fontId="0" fillId="0" borderId="0" xfId="0" applyNumberFormat="1" applyFill="1" applyProtection="1"/>
    <xf numFmtId="3" fontId="11" fillId="0" borderId="2" xfId="0" applyNumberFormat="1" applyFont="1" applyFill="1" applyBorder="1" applyAlignment="1" applyProtection="1">
      <alignment horizontal="center"/>
    </xf>
    <xf numFmtId="165" fontId="8" fillId="2" borderId="0" xfId="0" applyNumberFormat="1" applyFont="1" applyFill="1" applyAlignment="1" applyProtection="1">
      <alignment horizontal="centerContinuous" vertical="center"/>
    </xf>
    <xf numFmtId="0" fontId="0" fillId="0" borderId="11" xfId="0" applyNumberFormat="1" applyBorder="1"/>
    <xf numFmtId="0" fontId="0" fillId="0" borderId="12" xfId="0" applyNumberFormat="1" applyBorder="1"/>
    <xf numFmtId="0" fontId="0" fillId="0" borderId="13" xfId="0" applyNumberFormat="1" applyBorder="1"/>
    <xf numFmtId="0" fontId="0" fillId="0" borderId="14" xfId="0" applyNumberFormat="1" applyBorder="1"/>
    <xf numFmtId="0" fontId="0" fillId="0" borderId="15" xfId="0" applyNumberFormat="1" applyBorder="1"/>
    <xf numFmtId="0" fontId="0" fillId="0" borderId="16" xfId="0" applyNumberFormat="1" applyBorder="1"/>
    <xf numFmtId="0" fontId="0" fillId="0" borderId="0" xfId="0" applyNumberFormat="1"/>
    <xf numFmtId="0" fontId="0" fillId="0" borderId="17" xfId="0" applyNumberFormat="1" applyBorder="1"/>
    <xf numFmtId="0" fontId="0" fillId="0" borderId="18" xfId="0" applyNumberFormat="1" applyBorder="1"/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6">
    <cellStyle name="Comma 2" xfId="4"/>
    <cellStyle name="Normal" xfId="0" builtinId="0"/>
    <cellStyle name="Normal 2" xfId="1"/>
    <cellStyle name="Normal 3" xfId="3"/>
    <cellStyle name="Percent" xfId="2" builtinId="5"/>
    <cellStyle name="Percent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19_Total/2019_07_July_total_load_by_seg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ustomer_count_files/201907_July_2019_customer_count_calculati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PURA_reports_filings/06-10-22_Switch_reports_and_letters/Supplier%20Counts/Customer_count_files/2019/201907_July_2019_customer_count_calcu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1"/>
      <sheetName val="Just Total"/>
      <sheetName val="For Report"/>
      <sheetName val="UI_RES"/>
      <sheetName val="Alt_res"/>
      <sheetName val="UI_C&amp;I_SS"/>
      <sheetName val="ALT_C&amp;I"/>
      <sheetName val="LRS-SOL"/>
      <sheetName val="1268&amp;1269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4">
          <cell r="H24">
            <v>81950.554999999993</v>
          </cell>
        </row>
        <row r="25">
          <cell r="H25">
            <v>180371.45700000017</v>
          </cell>
        </row>
        <row r="26">
          <cell r="H26">
            <v>72233.544999999998</v>
          </cell>
        </row>
        <row r="29">
          <cell r="H29">
            <v>171658.11299999995</v>
          </cell>
        </row>
        <row r="30">
          <cell r="H30">
            <v>64102.983999999997</v>
          </cell>
        </row>
        <row r="31">
          <cell r="H31">
            <v>7462.8969999999999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from BW"/>
      <sheetName val="Check"/>
      <sheetName val="Raw"/>
      <sheetName val="For RFP"/>
      <sheetName val="Suppliers"/>
      <sheetName val="Res"/>
      <sheetName val="C&amp;I"/>
      <sheetName val="LRS"/>
      <sheetName val="Summary"/>
      <sheetName val="Suppliers codes"/>
      <sheetName val="Asset I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B18">
            <v>90200</v>
          </cell>
        </row>
      </sheetData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from BW"/>
      <sheetName val="Check"/>
      <sheetName val="Raw"/>
      <sheetName val="For RFP"/>
      <sheetName val="Suppliers"/>
      <sheetName val="Res"/>
      <sheetName val="C&amp;I"/>
      <sheetName val="LRS"/>
      <sheetName val="Summary"/>
      <sheetName val="Suppliers codes"/>
      <sheetName val="Asset I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9">
          <cell r="B19">
            <v>19840</v>
          </cell>
        </row>
        <row r="20">
          <cell r="B20">
            <v>216</v>
          </cell>
        </row>
        <row r="22">
          <cell r="B22">
            <v>210361</v>
          </cell>
        </row>
        <row r="23">
          <cell r="B23">
            <v>17898</v>
          </cell>
        </row>
        <row r="24">
          <cell r="B24">
            <v>23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showZeros="0" tabSelected="1" zoomScaleNormal="100" workbookViewId="0">
      <selection activeCell="F20" sqref="F20"/>
    </sheetView>
  </sheetViews>
  <sheetFormatPr defaultColWidth="9.140625" defaultRowHeight="12.75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14.28515625" style="2" customWidth="1"/>
    <col min="9" max="9" width="11.7109375" style="2" customWidth="1"/>
    <col min="10" max="16384" width="9.140625" style="2"/>
  </cols>
  <sheetData>
    <row r="1" spans="1:15" s="8" customFormat="1" ht="18" customHeight="1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15" s="8" customFormat="1" ht="18" customHeight="1">
      <c r="A2" s="22" t="s">
        <v>55</v>
      </c>
      <c r="B2" s="23"/>
      <c r="C2" s="23"/>
      <c r="D2" s="23"/>
      <c r="E2" s="23"/>
      <c r="F2" s="23"/>
      <c r="G2" s="24"/>
      <c r="H2" s="25"/>
      <c r="I2" s="25"/>
    </row>
    <row r="3" spans="1:15" s="8" customFormat="1" ht="18" customHeight="1">
      <c r="A3" s="22" t="s">
        <v>33</v>
      </c>
      <c r="B3" s="23"/>
      <c r="C3" s="23"/>
      <c r="D3" s="23"/>
      <c r="E3" s="23"/>
      <c r="F3" s="23"/>
      <c r="G3" s="24"/>
      <c r="H3" s="25"/>
      <c r="I3" s="25"/>
    </row>
    <row r="4" spans="1:15" s="8" customFormat="1" ht="18" customHeight="1">
      <c r="A4" s="22" t="s">
        <v>26</v>
      </c>
      <c r="B4" s="23"/>
      <c r="C4" s="23"/>
      <c r="D4" s="23"/>
      <c r="E4" s="23"/>
      <c r="F4" s="23"/>
      <c r="G4" s="24"/>
      <c r="H4" s="25"/>
      <c r="I4" s="25"/>
    </row>
    <row r="5" spans="1:15" s="8" customFormat="1" ht="18" customHeight="1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15" s="8" customFormat="1" ht="18" customHeight="1">
      <c r="A6" s="111" t="s">
        <v>92</v>
      </c>
      <c r="B6" s="111"/>
      <c r="C6" s="25"/>
      <c r="D6" s="70"/>
      <c r="E6" s="70"/>
      <c r="F6" s="70"/>
      <c r="G6" s="25"/>
      <c r="H6" s="25"/>
      <c r="I6" s="25"/>
    </row>
    <row r="8" spans="1:15" ht="18" customHeight="1">
      <c r="A8" s="28" t="s">
        <v>29</v>
      </c>
      <c r="B8" s="29"/>
      <c r="C8" s="29"/>
      <c r="D8" s="29"/>
      <c r="E8" s="29"/>
      <c r="F8" s="29"/>
      <c r="G8" s="30"/>
      <c r="H8" s="25"/>
      <c r="I8" s="25"/>
    </row>
    <row r="9" spans="1:15" s="35" customFormat="1" ht="18" customHeight="1">
      <c r="A9" s="2"/>
      <c r="B9" s="31" t="s">
        <v>30</v>
      </c>
      <c r="C9" s="32"/>
      <c r="D9" s="31" t="s">
        <v>7</v>
      </c>
      <c r="E9" s="33"/>
      <c r="F9" s="31" t="s">
        <v>8</v>
      </c>
      <c r="G9" s="34"/>
      <c r="H9" s="31" t="s">
        <v>32</v>
      </c>
      <c r="I9" s="33"/>
    </row>
    <row r="10" spans="1:15" ht="18" customHeight="1">
      <c r="A10" s="36"/>
      <c r="B10" s="37" t="s">
        <v>9</v>
      </c>
      <c r="C10" s="38" t="s">
        <v>19</v>
      </c>
      <c r="D10" s="37" t="str">
        <f>B10</f>
        <v>MWh</v>
      </c>
      <c r="E10" s="38" t="s">
        <v>19</v>
      </c>
      <c r="F10" s="37" t="str">
        <f>D10</f>
        <v>MWh</v>
      </c>
      <c r="G10" s="38" t="s">
        <v>19</v>
      </c>
      <c r="H10" s="37" t="str">
        <f>F10</f>
        <v>MWh</v>
      </c>
      <c r="I10" s="38" t="s">
        <v>18</v>
      </c>
    </row>
    <row r="11" spans="1:15" ht="18" customHeight="1">
      <c r="A11" s="39" t="s">
        <v>10</v>
      </c>
      <c r="B11" s="68">
        <f>[1]Check!$H$24</f>
        <v>81950.554999999993</v>
      </c>
      <c r="C11" s="40">
        <f>IF(B11=0,0,B11/$B$13)</f>
        <v>0.32313783139305008</v>
      </c>
      <c r="D11" s="68">
        <f>[1]Check!$H$25</f>
        <v>180371.45700000017</v>
      </c>
      <c r="E11" s="40">
        <f>IF(D11=0,0,D11/$D$13)</f>
        <v>0.73779269629253408</v>
      </c>
      <c r="F11" s="68">
        <f>[1]Check!$H$26</f>
        <v>72233.544999999998</v>
      </c>
      <c r="G11" s="40">
        <f>IF(F11=0,0,F11/$F$13)</f>
        <v>0.90635846704423773</v>
      </c>
      <c r="H11" s="41">
        <f>IF(B11+D11+F11=0,0,B11+D11+F11)</f>
        <v>334555.55700000015</v>
      </c>
      <c r="I11" s="40">
        <f>IF(H11=0,0,H11/$H$13)</f>
        <v>0.5790366869525988</v>
      </c>
    </row>
    <row r="12" spans="1:15" ht="18" customHeight="1">
      <c r="A12" s="39" t="s">
        <v>11</v>
      </c>
      <c r="B12" s="69">
        <f>[1]Check!$H$29</f>
        <v>171658.11299999995</v>
      </c>
      <c r="C12" s="40">
        <f>IF(B12=0,0,B12/$B$13)</f>
        <v>0.67686216860694992</v>
      </c>
      <c r="D12" s="69">
        <f>[1]Check!$H$30</f>
        <v>64102.983999999997</v>
      </c>
      <c r="E12" s="40">
        <f>IF(D12=0,0,D12/$D$13)</f>
        <v>0.26220730370746592</v>
      </c>
      <c r="F12" s="69">
        <f>[1]Check!$H$31</f>
        <v>7462.8969999999999</v>
      </c>
      <c r="G12" s="40">
        <f>IF(F12=0,0,F12/$F$13)</f>
        <v>9.3641532955762316E-2</v>
      </c>
      <c r="H12" s="102">
        <f>IF(B12+D12+F12=0,0,B12+D12+F12)</f>
        <v>243223.99399999995</v>
      </c>
      <c r="I12" s="40">
        <f>IF(H12=0,0,H12/$H$13)</f>
        <v>0.4209633130474012</v>
      </c>
    </row>
    <row r="13" spans="1:15" ht="18" customHeight="1">
      <c r="A13" s="107" t="s">
        <v>6</v>
      </c>
      <c r="B13" s="42">
        <f>SUM(B11:B12)</f>
        <v>253608.66799999995</v>
      </c>
      <c r="C13" s="43"/>
      <c r="D13" s="42">
        <f>SUM(D11:D12)</f>
        <v>244474.44100000017</v>
      </c>
      <c r="E13" s="43"/>
      <c r="F13" s="42">
        <f>SUM(F11:F12)</f>
        <v>79696.441999999995</v>
      </c>
      <c r="G13" s="43"/>
      <c r="H13" s="42">
        <f>IF(H11+H12=0,0,H11+H12)</f>
        <v>577779.55100000009</v>
      </c>
      <c r="I13" s="44"/>
    </row>
    <row r="14" spans="1:15" ht="18" customHeight="1">
      <c r="A14" s="99" t="str">
        <f>"As the above table shows, "&amp;TEXT(H11,"0,000")&amp; " MWh, or "&amp;TEXT(I11,"0.0%")&amp;" of UI's total load is served by electric suppliers"</f>
        <v>As the above table shows, 334,556 MWh, or 57.9% of UI's total load is served by electric suppliers</v>
      </c>
      <c r="H14" s="27"/>
      <c r="L14" s="101"/>
      <c r="M14" s="101"/>
      <c r="O14" s="101"/>
    </row>
    <row r="15" spans="1:15" ht="18" customHeight="1">
      <c r="A15" s="99" t="str">
        <f>"while "&amp;TEXT(H12,"0,000")&amp;" MHh, or "&amp;TEXT(I12,"0.0%")&amp;" of the load is provided under Standard Service or Last Resort service through UI."</f>
        <v>while 243,224 MHh, or 42.1% of the load is provided under Standard Service or Last Resort service through UI.</v>
      </c>
      <c r="B15" s="46"/>
      <c r="C15" s="47"/>
      <c r="D15" s="46"/>
      <c r="E15" s="47"/>
      <c r="F15" s="48"/>
      <c r="G15" s="49"/>
      <c r="H15" s="27"/>
    </row>
    <row r="16" spans="1:15" ht="15">
      <c r="G16" s="49"/>
      <c r="H16" s="27"/>
    </row>
    <row r="17" spans="1:17" ht="18" customHeight="1">
      <c r="A17" s="28" t="s">
        <v>28</v>
      </c>
      <c r="B17" s="29"/>
      <c r="C17" s="29"/>
      <c r="D17" s="29"/>
      <c r="E17" s="29"/>
      <c r="F17" s="29"/>
      <c r="G17" s="50"/>
      <c r="H17" s="24"/>
      <c r="I17" s="25"/>
    </row>
    <row r="18" spans="1:17" ht="18" customHeight="1">
      <c r="A18" s="39"/>
      <c r="B18" s="31" t="s">
        <v>30</v>
      </c>
      <c r="C18" s="51"/>
      <c r="D18" s="31" t="s">
        <v>7</v>
      </c>
      <c r="E18" s="52"/>
      <c r="F18" s="31" t="s">
        <v>8</v>
      </c>
      <c r="G18" s="34"/>
      <c r="H18" s="31" t="s">
        <v>32</v>
      </c>
      <c r="I18" s="33"/>
      <c r="O18" s="100"/>
    </row>
    <row r="19" spans="1:17" ht="18" customHeight="1">
      <c r="A19" s="36"/>
      <c r="B19" s="37" t="s">
        <v>13</v>
      </c>
      <c r="C19" s="38" t="s">
        <v>19</v>
      </c>
      <c r="D19" s="37" t="str">
        <f>B19</f>
        <v>Customers</v>
      </c>
      <c r="E19" s="38" t="s">
        <v>19</v>
      </c>
      <c r="F19" s="37" t="str">
        <f>D19</f>
        <v>Customers</v>
      </c>
      <c r="G19" s="38" t="s">
        <v>19</v>
      </c>
      <c r="H19" s="37" t="str">
        <f>F19</f>
        <v>Customers</v>
      </c>
      <c r="I19" s="38" t="s">
        <v>18</v>
      </c>
    </row>
    <row r="20" spans="1:17" ht="18" customHeight="1">
      <c r="A20" s="39" t="str">
        <f>A11</f>
        <v>Suppliers</v>
      </c>
      <c r="B20" s="68">
        <f>[2]Summary!$B$18</f>
        <v>90200</v>
      </c>
      <c r="C20" s="40">
        <f>IF(B20=0,0,B20/$B$22)</f>
        <v>0.30010546943881611</v>
      </c>
      <c r="D20" s="68">
        <f>[3]Summary!$B$19</f>
        <v>19840</v>
      </c>
      <c r="E20" s="53">
        <f>IF(D20=0,0,D20/$D$22)</f>
        <v>0.52573003338809687</v>
      </c>
      <c r="F20" s="68">
        <f>[3]Summary!$B$20</f>
        <v>216</v>
      </c>
      <c r="G20" s="40">
        <f>IF(F20=0,0,F20/$F$22)</f>
        <v>0.90376569037656906</v>
      </c>
      <c r="H20" s="41">
        <f>IF(B20+D20+F20=0,0,B20+D20+F20)</f>
        <v>110256</v>
      </c>
      <c r="I20" s="40">
        <f>IF(H20=0,0,H20/$H$22)</f>
        <v>0.32568278893359093</v>
      </c>
      <c r="J20" s="54"/>
      <c r="K20" s="54"/>
      <c r="M20" s="101"/>
    </row>
    <row r="21" spans="1:17" ht="18" customHeight="1">
      <c r="A21" s="39" t="str">
        <f>A12</f>
        <v>UI</v>
      </c>
      <c r="B21" s="69">
        <f>[3]Summary!$B$22</f>
        <v>210361</v>
      </c>
      <c r="C21" s="40">
        <f>IF(B21=0,0,B21/$B$22)</f>
        <v>0.69989453056118389</v>
      </c>
      <c r="D21" s="69">
        <f>[3]Summary!$B$23</f>
        <v>17898</v>
      </c>
      <c r="E21" s="53">
        <f>IF(D21=0,0,D21/$D$22)</f>
        <v>0.47426996661190313</v>
      </c>
      <c r="F21" s="69">
        <f>[3]Summary!$B$24</f>
        <v>23</v>
      </c>
      <c r="G21" s="40">
        <f>IF(F21=0,0,F21/$F$22)</f>
        <v>9.6234309623430964E-2</v>
      </c>
      <c r="H21" s="69">
        <f>IF(B21+D21+F21=0,0,B21+D21+F21)</f>
        <v>228282</v>
      </c>
      <c r="I21" s="40">
        <f>IF(H21=0,0,H21/$H$22)</f>
        <v>0.67431721106640907</v>
      </c>
    </row>
    <row r="22" spans="1:17" ht="18" customHeight="1">
      <c r="A22" s="39" t="str">
        <f>A13</f>
        <v>Total</v>
      </c>
      <c r="B22" s="42">
        <f>SUM(B20:B21)</f>
        <v>300561</v>
      </c>
      <c r="C22" s="55"/>
      <c r="D22" s="42">
        <f>SUM(D20:D21)</f>
        <v>37738</v>
      </c>
      <c r="E22" s="43"/>
      <c r="F22" s="42">
        <f>SUM(F20:F21)</f>
        <v>239</v>
      </c>
      <c r="G22" s="43"/>
      <c r="H22" s="42">
        <f>IF(H20+H21=0,0,H20+H21)</f>
        <v>338538</v>
      </c>
      <c r="I22" s="44"/>
      <c r="N22" s="101"/>
      <c r="Q22" s="101"/>
    </row>
    <row r="23" spans="1:17" ht="18" customHeight="1">
      <c r="G23" s="49"/>
      <c r="H23" s="27"/>
    </row>
    <row r="24" spans="1:17" ht="18" customHeight="1">
      <c r="A24" s="99" t="str">
        <f>"As the above table shows, "&amp;TEXT(H20,"0,000")&amp; " of UI's total customers, or "&amp;TEXT(I20,"0.0%")&amp;" are served by electric suppliers"</f>
        <v>As the above table shows, 110,256 of UI's total customers, or 32.6% are served by electric suppliers</v>
      </c>
      <c r="G24" s="49"/>
      <c r="H24" s="27"/>
      <c r="J24" s="101"/>
    </row>
    <row r="25" spans="1:17" ht="18" customHeight="1">
      <c r="A25" s="99" t="str">
        <f>"while "&amp;TEXT(H21,"0,000")&amp;" or "&amp;TEXT(I21,"0.0%")&amp;" of the customers continue to receive Standard Service or Last Resort service through UI."</f>
        <v>while 228,282 or 67.4% of the customers continue to receive Standard Service or Last Resort service through UI.</v>
      </c>
      <c r="B25" s="56"/>
      <c r="C25" s="56"/>
      <c r="D25" s="56"/>
      <c r="E25" s="56"/>
      <c r="F25" s="57"/>
      <c r="G25" s="58"/>
      <c r="H25" s="27"/>
    </row>
    <row r="26" spans="1:17" ht="18" customHeight="1">
      <c r="B26" s="27"/>
      <c r="C26" s="27"/>
      <c r="D26" s="58"/>
      <c r="E26" s="58"/>
      <c r="F26" s="59"/>
      <c r="G26" s="59"/>
      <c r="H26" s="27"/>
    </row>
    <row r="28" spans="1:17" ht="13.5">
      <c r="A28" s="66" t="s">
        <v>27</v>
      </c>
      <c r="I28" s="101"/>
    </row>
    <row r="29" spans="1:17" ht="13.5">
      <c r="A29" s="66" t="s">
        <v>31</v>
      </c>
    </row>
    <row r="30" spans="1:17" ht="13.5">
      <c r="A30" s="66" t="s">
        <v>49</v>
      </c>
    </row>
    <row r="31" spans="1:17">
      <c r="A31" s="67" t="s">
        <v>17</v>
      </c>
    </row>
    <row r="32" spans="1:17">
      <c r="A32" s="67" t="s">
        <v>23</v>
      </c>
    </row>
    <row r="36" spans="1:1">
      <c r="A36" s="101"/>
    </row>
  </sheetData>
  <phoneticPr fontId="0" type="noConversion"/>
  <printOptions horizontalCentered="1"/>
  <pageMargins left="0.75" right="0.5" top="1.5" bottom="0.75" header="0.5" footer="0"/>
  <pageSetup scale="77" fitToHeight="2" orientation="portrait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showGridLines="0" showZeros="0" zoomScaleNormal="100" workbookViewId="0">
      <selection activeCell="A5" sqref="A5"/>
    </sheetView>
  </sheetViews>
  <sheetFormatPr defaultColWidth="9.140625" defaultRowHeight="12.75"/>
  <cols>
    <col min="1" max="1" width="4.42578125" style="1" customWidth="1"/>
    <col min="2" max="2" width="40.28515625" style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2"/>
  </cols>
  <sheetData>
    <row r="1" spans="1:11" s="8" customFormat="1" ht="18" customHeight="1">
      <c r="A1" s="12" t="str">
        <f>'Summary Load Customers '!A1</f>
        <v>The United Illuminating Company</v>
      </c>
      <c r="B1" s="13"/>
      <c r="C1" s="13"/>
      <c r="D1" s="13"/>
      <c r="E1" s="13"/>
      <c r="F1" s="6"/>
      <c r="G1" s="7"/>
      <c r="H1" s="7"/>
      <c r="I1" s="7"/>
      <c r="J1" s="7"/>
      <c r="K1" s="7"/>
    </row>
    <row r="2" spans="1:11" s="8" customFormat="1" ht="18" customHeight="1">
      <c r="A2" s="121" t="s">
        <v>55</v>
      </c>
      <c r="B2" s="121"/>
      <c r="C2" s="121"/>
      <c r="D2" s="121"/>
      <c r="E2" s="121"/>
      <c r="F2" s="121"/>
      <c r="G2" s="24"/>
      <c r="H2" s="25"/>
      <c r="I2" s="25"/>
    </row>
    <row r="3" spans="1:11" s="8" customFormat="1" ht="18" customHeight="1">
      <c r="A3" s="12" t="s">
        <v>91</v>
      </c>
      <c r="B3" s="13"/>
      <c r="C3" s="13"/>
      <c r="D3" s="13"/>
      <c r="E3" s="13"/>
      <c r="F3" s="6"/>
      <c r="G3" s="7"/>
      <c r="H3" s="7"/>
      <c r="I3" s="7"/>
      <c r="J3" s="7"/>
      <c r="K3" s="7"/>
    </row>
    <row r="4" spans="1:11" s="8" customFormat="1" ht="18" customHeight="1">
      <c r="A4" s="12" t="s">
        <v>1</v>
      </c>
      <c r="B4" s="13"/>
      <c r="C4" s="13"/>
      <c r="D4" s="13"/>
      <c r="E4" s="13"/>
      <c r="F4" s="6"/>
      <c r="G4" s="7"/>
      <c r="H4" s="7"/>
      <c r="I4" s="7"/>
      <c r="J4" s="7"/>
      <c r="K4" s="7"/>
    </row>
    <row r="5" spans="1:11" s="8" customFormat="1" ht="18" customHeight="1">
      <c r="A5" s="9" t="str">
        <f>'Summary Load Customers '!A6</f>
        <v>Data as of July 31 2019</v>
      </c>
      <c r="B5" s="13"/>
      <c r="C5" s="13"/>
      <c r="D5" s="13"/>
      <c r="E5" s="13"/>
      <c r="F5" s="14"/>
      <c r="G5" s="7"/>
      <c r="H5" s="7"/>
      <c r="I5" s="7"/>
      <c r="J5" s="7"/>
      <c r="K5" s="7"/>
    </row>
    <row r="6" spans="1:11" ht="9" customHeight="1">
      <c r="A6" s="15"/>
      <c r="B6" s="5"/>
      <c r="C6" s="16"/>
      <c r="D6" s="16"/>
      <c r="E6" s="10"/>
      <c r="F6" s="10"/>
    </row>
    <row r="7" spans="1:11" s="8" customFormat="1" ht="18" customHeight="1">
      <c r="A7" s="17"/>
      <c r="B7" s="18"/>
      <c r="C7" s="3" t="s">
        <v>2</v>
      </c>
      <c r="D7" s="11"/>
      <c r="E7" s="11"/>
      <c r="F7" s="19"/>
      <c r="G7" s="7"/>
      <c r="H7" s="7"/>
      <c r="I7" s="7"/>
      <c r="J7" s="7"/>
      <c r="K7" s="7"/>
    </row>
    <row r="8" spans="1:11" ht="25.5">
      <c r="A8" s="20"/>
      <c r="B8" s="4" t="s">
        <v>3</v>
      </c>
      <c r="C8" s="4" t="s">
        <v>4</v>
      </c>
      <c r="D8" s="4" t="s">
        <v>5</v>
      </c>
      <c r="E8" s="4" t="s">
        <v>6</v>
      </c>
      <c r="F8" s="4" t="s">
        <v>24</v>
      </c>
    </row>
    <row r="9" spans="1:11" ht="14.25" customHeight="1">
      <c r="A9" s="105">
        <v>1</v>
      </c>
      <c r="B9" t="s">
        <v>59</v>
      </c>
      <c r="C9" s="115">
        <v>153</v>
      </c>
      <c r="D9" s="117">
        <v>168</v>
      </c>
      <c r="E9" s="119">
        <v>321</v>
      </c>
      <c r="F9" s="21">
        <f t="shared" ref="F9:F45" si="0">IF(E9=0,"",E9/$E$46)</f>
        <v>2.912040060962334E-3</v>
      </c>
    </row>
    <row r="10" spans="1:11" ht="14.25" customHeight="1">
      <c r="A10" s="105">
        <v>2</v>
      </c>
      <c r="B10" t="s">
        <v>56</v>
      </c>
      <c r="C10" s="116">
        <v>555</v>
      </c>
      <c r="D10" s="118">
        <v>1133</v>
      </c>
      <c r="E10" s="120">
        <v>1688</v>
      </c>
      <c r="F10" s="21">
        <f t="shared" si="0"/>
        <v>1.5313157703752087E-2</v>
      </c>
    </row>
    <row r="11" spans="1:11" ht="14.25" customHeight="1">
      <c r="A11" s="105">
        <v>3</v>
      </c>
      <c r="B11" t="s">
        <v>50</v>
      </c>
      <c r="C11" s="116">
        <v>8686</v>
      </c>
      <c r="D11" s="118">
        <v>804</v>
      </c>
      <c r="E11" s="120">
        <v>9490</v>
      </c>
      <c r="F11" s="21">
        <f t="shared" si="0"/>
        <v>8.6091153204151241E-2</v>
      </c>
    </row>
    <row r="12" spans="1:11" ht="14.25" customHeight="1">
      <c r="A12" s="105">
        <v>4</v>
      </c>
      <c r="B12" t="s">
        <v>60</v>
      </c>
      <c r="C12" s="116">
        <v>17</v>
      </c>
      <c r="D12" s="118">
        <v>3020</v>
      </c>
      <c r="E12" s="120">
        <v>3037</v>
      </c>
      <c r="F12" s="21">
        <f t="shared" si="0"/>
        <v>2.7550983380506568E-2</v>
      </c>
    </row>
    <row r="13" spans="1:11" ht="14.25" customHeight="1">
      <c r="A13" s="105">
        <v>5</v>
      </c>
      <c r="B13" t="s">
        <v>61</v>
      </c>
      <c r="C13" s="116">
        <v>16</v>
      </c>
      <c r="D13" s="118">
        <v>179</v>
      </c>
      <c r="E13" s="120">
        <v>195</v>
      </c>
      <c r="F13" s="21">
        <f t="shared" si="0"/>
        <v>1.7689962987154366E-3</v>
      </c>
    </row>
    <row r="14" spans="1:11" ht="14.25" customHeight="1">
      <c r="A14" s="105">
        <v>6</v>
      </c>
      <c r="B14" t="s">
        <v>62</v>
      </c>
      <c r="C14" s="116">
        <v>520</v>
      </c>
      <c r="D14" s="118">
        <v>13</v>
      </c>
      <c r="E14" s="120">
        <v>533</v>
      </c>
      <c r="F14" s="21">
        <f t="shared" si="0"/>
        <v>4.8352565498221934E-3</v>
      </c>
    </row>
    <row r="15" spans="1:11" ht="14.25" customHeight="1">
      <c r="A15" s="105">
        <v>7</v>
      </c>
      <c r="B15" t="s">
        <v>63</v>
      </c>
      <c r="C15" s="116">
        <v>6846</v>
      </c>
      <c r="D15" s="118">
        <v>275</v>
      </c>
      <c r="E15" s="120">
        <v>7121</v>
      </c>
      <c r="F15" s="21">
        <f t="shared" si="0"/>
        <v>6.4600116118731399E-2</v>
      </c>
    </row>
    <row r="16" spans="1:11" ht="14.25" customHeight="1">
      <c r="A16" s="105">
        <v>8</v>
      </c>
      <c r="B16" t="s">
        <v>64</v>
      </c>
      <c r="C16" s="116">
        <v>540</v>
      </c>
      <c r="D16" s="118">
        <v>90</v>
      </c>
      <c r="E16" s="120">
        <v>630</v>
      </c>
      <c r="F16" s="21">
        <f t="shared" si="0"/>
        <v>5.7152188112344869E-3</v>
      </c>
    </row>
    <row r="17" spans="1:6" ht="14.25" customHeight="1">
      <c r="A17" s="105">
        <v>9</v>
      </c>
      <c r="B17" t="s">
        <v>65</v>
      </c>
      <c r="C17" s="116">
        <v>905</v>
      </c>
      <c r="D17" s="118">
        <v>4458</v>
      </c>
      <c r="E17" s="120">
        <v>5363</v>
      </c>
      <c r="F17" s="21">
        <f t="shared" si="0"/>
        <v>4.8651934102619927E-2</v>
      </c>
    </row>
    <row r="18" spans="1:6" ht="14.25" customHeight="1">
      <c r="A18" s="105">
        <v>10</v>
      </c>
      <c r="B18" t="s">
        <v>66</v>
      </c>
      <c r="C18" s="116">
        <v>7783</v>
      </c>
      <c r="D18" s="118">
        <v>780</v>
      </c>
      <c r="E18" s="120">
        <v>8563</v>
      </c>
      <c r="F18" s="21">
        <f t="shared" si="0"/>
        <v>7.7681616953334781E-2</v>
      </c>
    </row>
    <row r="19" spans="1:6" ht="14.25" customHeight="1">
      <c r="A19" s="105">
        <v>11</v>
      </c>
      <c r="B19" t="s">
        <v>57</v>
      </c>
      <c r="C19" s="116">
        <v>212</v>
      </c>
      <c r="D19" s="118">
        <v>1425</v>
      </c>
      <c r="E19" s="120">
        <v>1637</v>
      </c>
      <c r="F19" s="21">
        <f t="shared" si="0"/>
        <v>1.4850497133318818E-2</v>
      </c>
    </row>
    <row r="20" spans="1:6" ht="14.25" customHeight="1">
      <c r="A20" s="105">
        <v>12</v>
      </c>
      <c r="B20" t="s">
        <v>67</v>
      </c>
      <c r="C20" s="116">
        <v>7365</v>
      </c>
      <c r="D20" s="118">
        <v>1810</v>
      </c>
      <c r="E20" s="120">
        <v>9175</v>
      </c>
      <c r="F20" s="21">
        <f t="shared" si="0"/>
        <v>8.3233543798533996E-2</v>
      </c>
    </row>
    <row r="21" spans="1:6" ht="14.25" customHeight="1">
      <c r="A21" s="105">
        <v>13</v>
      </c>
      <c r="B21" t="s">
        <v>68</v>
      </c>
      <c r="C21" s="116">
        <v>4089</v>
      </c>
      <c r="D21" s="118">
        <v>276</v>
      </c>
      <c r="E21" s="120">
        <v>4365</v>
      </c>
      <c r="F21" s="21">
        <f t="shared" si="0"/>
        <v>3.959830176355323E-2</v>
      </c>
    </row>
    <row r="22" spans="1:6" ht="14.25" customHeight="1">
      <c r="A22" s="105">
        <v>14</v>
      </c>
      <c r="B22" t="s">
        <v>69</v>
      </c>
      <c r="C22" s="116"/>
      <c r="D22" s="118">
        <v>66</v>
      </c>
      <c r="E22" s="120">
        <v>66</v>
      </c>
      <c r="F22" s="21">
        <f t="shared" si="0"/>
        <v>5.9873720879599385E-4</v>
      </c>
    </row>
    <row r="23" spans="1:6" ht="14.25" customHeight="1">
      <c r="A23" s="105">
        <v>15</v>
      </c>
      <c r="B23" t="s">
        <v>70</v>
      </c>
      <c r="C23" s="116">
        <v>4</v>
      </c>
      <c r="D23" s="118">
        <v>4</v>
      </c>
      <c r="E23" s="120">
        <v>8</v>
      </c>
      <c r="F23" s="21">
        <f t="shared" si="0"/>
        <v>7.2574207126787144E-5</v>
      </c>
    </row>
    <row r="24" spans="1:6" ht="14.25" customHeight="1">
      <c r="A24" s="105">
        <v>16</v>
      </c>
      <c r="B24" t="s">
        <v>71</v>
      </c>
      <c r="C24" s="116">
        <v>450</v>
      </c>
      <c r="D24" s="118">
        <v>100</v>
      </c>
      <c r="E24" s="120">
        <v>550</v>
      </c>
      <c r="F24" s="21">
        <f t="shared" si="0"/>
        <v>4.9894767399666163E-3</v>
      </c>
    </row>
    <row r="25" spans="1:6" ht="14.25" customHeight="1">
      <c r="A25" s="105">
        <v>17</v>
      </c>
      <c r="B25" t="s">
        <v>72</v>
      </c>
      <c r="C25" s="116">
        <v>40</v>
      </c>
      <c r="D25" s="118"/>
      <c r="E25" s="120">
        <v>40</v>
      </c>
      <c r="F25" s="21">
        <f t="shared" si="0"/>
        <v>3.6287103563393571E-4</v>
      </c>
    </row>
    <row r="26" spans="1:6" ht="14.25" customHeight="1">
      <c r="A26" s="105">
        <v>18</v>
      </c>
      <c r="B26" t="s">
        <v>73</v>
      </c>
      <c r="C26" s="116">
        <v>318</v>
      </c>
      <c r="D26" s="118">
        <v>1149</v>
      </c>
      <c r="E26" s="120">
        <v>1467</v>
      </c>
      <c r="F26" s="21">
        <f t="shared" si="0"/>
        <v>1.3308295231874592E-2</v>
      </c>
    </row>
    <row r="27" spans="1:6" ht="14.25" customHeight="1">
      <c r="A27" s="105">
        <v>19</v>
      </c>
      <c r="B27" t="s">
        <v>74</v>
      </c>
      <c r="C27" s="116">
        <v>302</v>
      </c>
      <c r="D27" s="118">
        <v>97</v>
      </c>
      <c r="E27" s="120">
        <v>399</v>
      </c>
      <c r="F27" s="21">
        <f t="shared" si="0"/>
        <v>3.6196385804485088E-3</v>
      </c>
    </row>
    <row r="28" spans="1:6" ht="14.25" customHeight="1">
      <c r="A28" s="105">
        <v>20</v>
      </c>
      <c r="B28" t="s">
        <v>12</v>
      </c>
      <c r="C28" s="116">
        <v>6662</v>
      </c>
      <c r="D28" s="118">
        <v>477</v>
      </c>
      <c r="E28" s="120">
        <v>7139</v>
      </c>
      <c r="F28" s="21">
        <f t="shared" si="0"/>
        <v>6.4763408084766674E-2</v>
      </c>
    </row>
    <row r="29" spans="1:6" ht="14.25" customHeight="1">
      <c r="A29" s="105">
        <v>21</v>
      </c>
      <c r="B29" t="s">
        <v>75</v>
      </c>
      <c r="C29" s="116">
        <v>1051</v>
      </c>
      <c r="D29" s="118">
        <v>25</v>
      </c>
      <c r="E29" s="120">
        <v>1076</v>
      </c>
      <c r="F29" s="21">
        <f t="shared" si="0"/>
        <v>9.7612308585528704E-3</v>
      </c>
    </row>
    <row r="30" spans="1:6" ht="14.25" customHeight="1">
      <c r="A30" s="105">
        <v>22</v>
      </c>
      <c r="B30" t="s">
        <v>76</v>
      </c>
      <c r="C30" s="116">
        <v>178</v>
      </c>
      <c r="D30" s="118">
        <v>98</v>
      </c>
      <c r="E30" s="120">
        <v>276</v>
      </c>
      <c r="F30" s="21">
        <f t="shared" si="0"/>
        <v>2.5038101458741565E-3</v>
      </c>
    </row>
    <row r="31" spans="1:6" ht="14.25" customHeight="1">
      <c r="A31" s="105">
        <v>23</v>
      </c>
      <c r="B31" t="s">
        <v>77</v>
      </c>
      <c r="C31" s="116">
        <v>8</v>
      </c>
      <c r="D31" s="118">
        <v>1</v>
      </c>
      <c r="E31" s="120">
        <v>9</v>
      </c>
      <c r="F31" s="21">
        <f t="shared" si="0"/>
        <v>8.1645983017635535E-5</v>
      </c>
    </row>
    <row r="32" spans="1:6" ht="14.25" customHeight="1">
      <c r="A32" s="105">
        <v>24</v>
      </c>
      <c r="B32" t="s">
        <v>78</v>
      </c>
      <c r="C32" s="116">
        <v>214</v>
      </c>
      <c r="D32" s="118">
        <v>317</v>
      </c>
      <c r="E32" s="120">
        <v>531</v>
      </c>
      <c r="F32" s="21">
        <f t="shared" si="0"/>
        <v>4.8171129980404967E-3</v>
      </c>
    </row>
    <row r="33" spans="1:7" ht="14.25" customHeight="1">
      <c r="A33" s="105">
        <v>25</v>
      </c>
      <c r="B33" t="s">
        <v>79</v>
      </c>
      <c r="C33" s="116">
        <v>8237</v>
      </c>
      <c r="D33" s="118">
        <v>217</v>
      </c>
      <c r="E33" s="120">
        <v>8454</v>
      </c>
      <c r="F33" s="21">
        <f t="shared" si="0"/>
        <v>7.6692793381232305E-2</v>
      </c>
    </row>
    <row r="34" spans="1:7" ht="14.25" customHeight="1">
      <c r="A34" s="105">
        <v>26</v>
      </c>
      <c r="B34" t="s">
        <v>80</v>
      </c>
      <c r="C34" s="116">
        <v>950</v>
      </c>
      <c r="D34" s="118">
        <v>224</v>
      </c>
      <c r="E34" s="120">
        <v>1174</v>
      </c>
      <c r="F34" s="21">
        <f t="shared" si="0"/>
        <v>1.0650264895856012E-2</v>
      </c>
    </row>
    <row r="35" spans="1:7" ht="14.25" customHeight="1">
      <c r="A35" s="105">
        <v>27</v>
      </c>
      <c r="B35" t="s">
        <v>81</v>
      </c>
      <c r="C35" s="116">
        <v>4671</v>
      </c>
      <c r="D35" s="118">
        <v>935</v>
      </c>
      <c r="E35" s="120">
        <v>5606</v>
      </c>
      <c r="F35" s="21">
        <f t="shared" si="0"/>
        <v>5.0856375644096091E-2</v>
      </c>
    </row>
    <row r="36" spans="1:7" ht="14.25" customHeight="1">
      <c r="A36" s="105">
        <v>28</v>
      </c>
      <c r="B36" t="s">
        <v>82</v>
      </c>
      <c r="C36" s="116">
        <v>441</v>
      </c>
      <c r="D36" s="118">
        <v>114</v>
      </c>
      <c r="E36" s="120">
        <v>555</v>
      </c>
      <c r="F36" s="21">
        <f t="shared" si="0"/>
        <v>5.034835619420858E-3</v>
      </c>
    </row>
    <row r="37" spans="1:7" ht="14.25" customHeight="1">
      <c r="A37" s="105">
        <v>29</v>
      </c>
      <c r="B37" t="s">
        <v>83</v>
      </c>
      <c r="C37" s="116">
        <v>2739</v>
      </c>
      <c r="D37" s="118">
        <v>195</v>
      </c>
      <c r="E37" s="120">
        <v>2934</v>
      </c>
      <c r="F37" s="21">
        <f t="shared" si="0"/>
        <v>2.6616590463749184E-2</v>
      </c>
    </row>
    <row r="38" spans="1:7" ht="14.25" customHeight="1">
      <c r="A38" s="105">
        <v>30</v>
      </c>
      <c r="B38" t="s">
        <v>84</v>
      </c>
      <c r="C38" s="116">
        <v>1610</v>
      </c>
      <c r="D38" s="118">
        <v>183</v>
      </c>
      <c r="E38" s="120">
        <v>1793</v>
      </c>
      <c r="F38" s="21">
        <f t="shared" si="0"/>
        <v>1.6265694172291168E-2</v>
      </c>
    </row>
    <row r="39" spans="1:7" ht="14.25" customHeight="1">
      <c r="A39" s="105">
        <v>31</v>
      </c>
      <c r="B39" t="s">
        <v>85</v>
      </c>
      <c r="C39" s="116"/>
      <c r="D39" s="118">
        <v>13</v>
      </c>
      <c r="E39" s="120">
        <v>13</v>
      </c>
      <c r="F39" s="21">
        <f t="shared" si="0"/>
        <v>1.179330865810291E-4</v>
      </c>
    </row>
    <row r="40" spans="1:7" ht="14.25" customHeight="1">
      <c r="A40" s="105">
        <v>32</v>
      </c>
      <c r="B40" t="s">
        <v>54</v>
      </c>
      <c r="C40" s="116">
        <v>3050</v>
      </c>
      <c r="D40" s="118">
        <v>105</v>
      </c>
      <c r="E40" s="120">
        <v>3155</v>
      </c>
      <c r="F40" s="21">
        <f t="shared" si="0"/>
        <v>2.8621452935626679E-2</v>
      </c>
    </row>
    <row r="41" spans="1:7" ht="14.25" customHeight="1">
      <c r="A41" s="105">
        <v>33</v>
      </c>
      <c r="B41" t="s">
        <v>86</v>
      </c>
      <c r="C41" s="116">
        <v>12441</v>
      </c>
      <c r="D41" s="118">
        <v>270</v>
      </c>
      <c r="E41" s="120">
        <v>12711</v>
      </c>
      <c r="F41" s="21">
        <f t="shared" si="0"/>
        <v>0.11531134334857392</v>
      </c>
    </row>
    <row r="42" spans="1:7" ht="14.25" customHeight="1">
      <c r="A42" s="105">
        <v>34</v>
      </c>
      <c r="B42" t="s">
        <v>87</v>
      </c>
      <c r="C42" s="116">
        <v>5756</v>
      </c>
      <c r="D42" s="118">
        <v>508</v>
      </c>
      <c r="E42" s="120">
        <v>6264</v>
      </c>
      <c r="F42" s="21">
        <f t="shared" si="0"/>
        <v>5.6825604180274332E-2</v>
      </c>
    </row>
    <row r="43" spans="1:7" ht="14.25" customHeight="1">
      <c r="A43" s="105">
        <v>35</v>
      </c>
      <c r="B43" t="s">
        <v>88</v>
      </c>
      <c r="C43" s="116">
        <v>563</v>
      </c>
      <c r="D43" s="118">
        <v>99</v>
      </c>
      <c r="E43" s="120">
        <v>662</v>
      </c>
      <c r="F43" s="21">
        <f t="shared" si="0"/>
        <v>6.0055156397416359E-3</v>
      </c>
    </row>
    <row r="44" spans="1:7">
      <c r="A44" s="105">
        <v>36</v>
      </c>
      <c r="B44" t="s">
        <v>90</v>
      </c>
      <c r="C44" s="116">
        <v>40</v>
      </c>
      <c r="D44" s="118">
        <v>16</v>
      </c>
      <c r="E44" s="120">
        <v>56</v>
      </c>
      <c r="F44" s="21">
        <f t="shared" si="0"/>
        <v>5.0801944988751002E-4</v>
      </c>
    </row>
    <row r="45" spans="1:7">
      <c r="A45" s="105">
        <v>37</v>
      </c>
      <c r="B45" t="s">
        <v>89</v>
      </c>
      <c r="C45" s="116">
        <v>2788</v>
      </c>
      <c r="D45" s="118">
        <v>388</v>
      </c>
      <c r="E45" s="120">
        <v>3176</v>
      </c>
      <c r="F45" s="21">
        <f t="shared" si="0"/>
        <v>2.8811960229334493E-2</v>
      </c>
      <c r="G45" s="109"/>
    </row>
    <row r="46" spans="1:7">
      <c r="A46" s="105"/>
      <c r="B46" s="108" t="s">
        <v>58</v>
      </c>
      <c r="C46" s="112">
        <v>90200</v>
      </c>
      <c r="D46" s="113">
        <v>20032</v>
      </c>
      <c r="E46" s="114">
        <v>110232</v>
      </c>
      <c r="F46" s="21">
        <f>SUM(F9:F45)</f>
        <v>1.0000000000000002</v>
      </c>
    </row>
    <row r="47" spans="1:7">
      <c r="A47" s="106"/>
    </row>
    <row r="48" spans="1:7">
      <c r="A48" s="1" t="s">
        <v>22</v>
      </c>
      <c r="B48" s="103"/>
    </row>
    <row r="49" spans="1:10">
      <c r="A49" s="1" t="s">
        <v>21</v>
      </c>
      <c r="J49" s="104"/>
    </row>
    <row r="50" spans="1:10">
      <c r="A50" s="1" t="s">
        <v>17</v>
      </c>
    </row>
  </sheetData>
  <sortState ref="B9:E51">
    <sortCondition ref="B9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64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zoomScaleNormal="100" zoomScalePageLayoutView="70" workbookViewId="0">
      <selection activeCell="C13" sqref="C13"/>
    </sheetView>
  </sheetViews>
  <sheetFormatPr defaultColWidth="9.140625" defaultRowHeight="12.75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7.7109375" style="2" customWidth="1"/>
    <col min="9" max="9" width="11.7109375" style="2" customWidth="1"/>
    <col min="10" max="16384" width="9.140625" style="2"/>
  </cols>
  <sheetData>
    <row r="1" spans="1:9" s="8" customFormat="1" ht="18" customHeight="1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9" s="8" customFormat="1" ht="18" customHeight="1">
      <c r="A2" s="121" t="s">
        <v>55</v>
      </c>
      <c r="B2" s="121"/>
      <c r="C2" s="121"/>
      <c r="D2" s="121"/>
      <c r="E2" s="121"/>
      <c r="F2" s="121"/>
      <c r="G2" s="121"/>
      <c r="H2" s="121"/>
      <c r="I2" s="25"/>
    </row>
    <row r="3" spans="1:9" s="8" customFormat="1" ht="18" customHeight="1">
      <c r="A3" s="22" t="s">
        <v>48</v>
      </c>
      <c r="B3" s="23"/>
      <c r="C3" s="23"/>
      <c r="D3" s="23"/>
      <c r="E3" s="23"/>
      <c r="F3" s="23"/>
      <c r="G3" s="24"/>
      <c r="H3" s="25"/>
      <c r="I3" s="25"/>
    </row>
    <row r="4" spans="1:9" s="8" customFormat="1" ht="18" customHeight="1">
      <c r="A4" s="22" t="s">
        <v>47</v>
      </c>
      <c r="B4" s="23"/>
      <c r="C4" s="23"/>
      <c r="D4" s="23"/>
      <c r="E4" s="23"/>
      <c r="F4" s="23"/>
      <c r="G4" s="24"/>
      <c r="H4" s="25"/>
      <c r="I4" s="25"/>
    </row>
    <row r="5" spans="1:9" s="8" customFormat="1" ht="18" customHeight="1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9" s="8" customFormat="1" ht="18" customHeight="1">
      <c r="A6" s="9" t="str">
        <f>'Summary Load Customers '!A6</f>
        <v>Data as of July 31 2019</v>
      </c>
      <c r="B6" s="25"/>
      <c r="C6" s="25"/>
      <c r="D6" s="70"/>
      <c r="E6" s="70"/>
      <c r="F6" s="70"/>
      <c r="G6" s="25"/>
      <c r="H6" s="25"/>
      <c r="I6" s="25"/>
    </row>
    <row r="7" spans="1:9" ht="18" customHeight="1">
      <c r="B7" s="27"/>
      <c r="C7" s="27"/>
      <c r="D7" s="58"/>
      <c r="E7" s="58"/>
      <c r="F7" s="59"/>
      <c r="G7" s="59"/>
      <c r="H7" s="27"/>
    </row>
    <row r="8" spans="1:9" ht="18" customHeight="1">
      <c r="A8" s="60" t="s">
        <v>41</v>
      </c>
      <c r="B8" s="61"/>
      <c r="C8" s="61"/>
      <c r="D8" s="62"/>
      <c r="E8" s="62"/>
      <c r="F8" s="63"/>
      <c r="G8" s="63"/>
      <c r="H8" s="61"/>
      <c r="I8" s="64"/>
    </row>
    <row r="9" spans="1:9" ht="18" customHeight="1">
      <c r="B9" s="27"/>
      <c r="C9" s="27"/>
      <c r="D9" s="58"/>
      <c r="E9" s="58"/>
      <c r="F9" s="65"/>
      <c r="G9" s="65"/>
      <c r="H9" s="27"/>
    </row>
    <row r="10" spans="1:9" ht="18" customHeight="1">
      <c r="A10" s="28" t="s">
        <v>52</v>
      </c>
      <c r="B10" s="29"/>
      <c r="C10" s="29"/>
      <c r="D10" s="29"/>
      <c r="E10" s="29"/>
      <c r="F10" s="29"/>
      <c r="G10" s="50"/>
      <c r="H10" s="24"/>
      <c r="I10" s="25"/>
    </row>
    <row r="11" spans="1:9" ht="18" customHeight="1">
      <c r="A11" s="39"/>
      <c r="B11" s="31" t="s">
        <v>4</v>
      </c>
      <c r="C11" s="51"/>
      <c r="D11" s="31" t="s">
        <v>25</v>
      </c>
      <c r="E11" s="52"/>
      <c r="F11" s="31" t="s">
        <v>32</v>
      </c>
      <c r="G11" s="33"/>
    </row>
    <row r="12" spans="1:9" ht="18" customHeight="1">
      <c r="A12" s="36"/>
      <c r="B12" s="37" t="s">
        <v>13</v>
      </c>
      <c r="C12" s="38" t="s">
        <v>19</v>
      </c>
      <c r="D12" s="37" t="str">
        <f>B12</f>
        <v>Customers</v>
      </c>
      <c r="E12" s="38" t="s">
        <v>19</v>
      </c>
      <c r="F12" s="37" t="str">
        <f>B12</f>
        <v>Customers</v>
      </c>
      <c r="G12" s="38" t="s">
        <v>18</v>
      </c>
    </row>
    <row r="13" spans="1:9" ht="18" customHeight="1">
      <c r="A13" s="39" t="s">
        <v>43</v>
      </c>
      <c r="B13" s="42">
        <f>REC_programs_detail!B23</f>
        <v>3307</v>
      </c>
      <c r="C13" s="43">
        <f>IF(B13=0,0,B13/'Summary Load Customers '!$B$22)</f>
        <v>1.1002758175545064E-2</v>
      </c>
      <c r="D13" s="42">
        <f>REC_programs_detail!C23</f>
        <v>37</v>
      </c>
      <c r="E13" s="43">
        <f>IF(D13=0,0,D13/('Summary Load Customers '!$D$22+'Summary Load Customers '!$F$22))</f>
        <v>9.7427390262527325E-4</v>
      </c>
      <c r="F13" s="42">
        <f>B13+D13</f>
        <v>3344</v>
      </c>
      <c r="G13" s="43">
        <f>IF(F13=0,0,F13/'Summary Load Customers '!$H$22)</f>
        <v>9.8777685222929176E-3</v>
      </c>
    </row>
    <row r="14" spans="1:9" ht="15.75" customHeight="1">
      <c r="G14" s="49"/>
      <c r="H14" s="27"/>
    </row>
    <row r="15" spans="1:9" ht="15.75" customHeight="1">
      <c r="A15" s="99" t="str">
        <f>"As the above table shows, "&amp;TEXT(F13,"0,000")&amp;" of UI's customers, or "&amp;TEXT(G13,"0.0%")&amp;" are participating in the CTCleanEnergyOptions Program."</f>
        <v>As the above table shows, 3,344 of UI's customers, or 1.0% are participating in the CTCleanEnergyOptions Program.</v>
      </c>
      <c r="G15" s="49"/>
      <c r="H15" s="27"/>
    </row>
    <row r="16" spans="1:9" ht="15.75" customHeight="1">
      <c r="G16" s="49"/>
      <c r="H16" s="27"/>
    </row>
    <row r="17" spans="1:9" ht="18" customHeight="1">
      <c r="A17" s="28" t="s">
        <v>42</v>
      </c>
      <c r="B17" s="29"/>
      <c r="C17" s="29"/>
      <c r="D17" s="29"/>
      <c r="E17" s="29"/>
      <c r="F17" s="29"/>
      <c r="G17" s="50"/>
      <c r="H17" s="24"/>
      <c r="I17" s="25"/>
    </row>
    <row r="18" spans="1:9" ht="18" customHeight="1">
      <c r="A18" s="39"/>
      <c r="B18" s="31" t="s">
        <v>4</v>
      </c>
      <c r="C18" s="51"/>
      <c r="D18" s="31" t="s">
        <v>25</v>
      </c>
      <c r="E18" s="52"/>
      <c r="F18" s="31" t="s">
        <v>32</v>
      </c>
      <c r="G18" s="33"/>
    </row>
    <row r="19" spans="1:9" ht="18" customHeight="1">
      <c r="A19" s="36"/>
      <c r="B19" s="37" t="s">
        <v>13</v>
      </c>
      <c r="C19" s="38" t="s">
        <v>19</v>
      </c>
      <c r="D19" s="37" t="str">
        <f>B19</f>
        <v>Customers</v>
      </c>
      <c r="E19" s="38" t="s">
        <v>19</v>
      </c>
      <c r="F19" s="37" t="str">
        <f>B19</f>
        <v>Customers</v>
      </c>
      <c r="G19" s="38" t="s">
        <v>18</v>
      </c>
    </row>
    <row r="20" spans="1:9" ht="18" customHeight="1">
      <c r="A20" s="39" t="s">
        <v>44</v>
      </c>
      <c r="B20" s="42">
        <f>REC_programs_detail!B29</f>
        <v>614</v>
      </c>
      <c r="C20" s="43">
        <f>IF(B20=0,0,B20/'Summary Load Customers '!$B$22)</f>
        <v>2.0428465436300785E-3</v>
      </c>
      <c r="D20" s="42">
        <f>REC_programs_detail!C29</f>
        <v>58</v>
      </c>
      <c r="E20" s="43">
        <f>IF(D20=0,0,D20/('Summary Load Customers '!$D$22+'Summary Load Customers '!$F$22))</f>
        <v>1.5272401716828607E-3</v>
      </c>
      <c r="F20" s="42">
        <f>B20+D20</f>
        <v>672</v>
      </c>
      <c r="G20" s="43">
        <f>IF(F20=0,0,F20/'Summary Load Customers '!$H$22)</f>
        <v>1.9850061145277637E-3</v>
      </c>
    </row>
    <row r="21" spans="1:9" ht="18" customHeight="1">
      <c r="B21" s="48"/>
      <c r="C21" s="47"/>
      <c r="D21" s="48"/>
      <c r="E21" s="47"/>
      <c r="F21" s="48"/>
      <c r="G21" s="47"/>
      <c r="H21" s="48"/>
      <c r="I21" s="47"/>
    </row>
    <row r="22" spans="1:9" ht="18" customHeight="1">
      <c r="A22" s="99" t="str">
        <f>"As the above table shows, "&amp;TEXT(F20,"0,000")&amp;" of UI's customers, or "&amp;TEXT(G20,"0.0%")&amp;" are participating in the REC only program."</f>
        <v>As the above table shows, 0,672 of UI's customers, or 0.2% are participating in the REC only program.</v>
      </c>
      <c r="B22" s="48"/>
      <c r="C22" s="47"/>
      <c r="D22" s="48"/>
      <c r="E22" s="47"/>
      <c r="F22" s="48"/>
      <c r="G22" s="47"/>
      <c r="H22" s="48"/>
      <c r="I22" s="47"/>
    </row>
    <row r="23" spans="1:9" ht="14.25">
      <c r="A23" s="45"/>
    </row>
    <row r="24" spans="1:9" ht="15">
      <c r="A24" s="28" t="s">
        <v>46</v>
      </c>
      <c r="B24" s="29"/>
      <c r="C24" s="29"/>
      <c r="D24" s="29"/>
      <c r="E24" s="29"/>
      <c r="F24" s="29"/>
      <c r="G24" s="50"/>
      <c r="H24" s="24"/>
      <c r="I24" s="25"/>
    </row>
    <row r="25" spans="1:9" ht="15">
      <c r="A25" s="39"/>
      <c r="B25" s="31" t="s">
        <v>4</v>
      </c>
      <c r="C25" s="51"/>
      <c r="D25" s="31" t="s">
        <v>25</v>
      </c>
      <c r="E25" s="52"/>
      <c r="F25" s="31" t="s">
        <v>32</v>
      </c>
      <c r="G25" s="33"/>
    </row>
    <row r="26" spans="1:9" ht="15">
      <c r="A26" s="36"/>
      <c r="B26" s="37" t="s">
        <v>13</v>
      </c>
      <c r="C26" s="38" t="s">
        <v>19</v>
      </c>
      <c r="D26" s="37" t="str">
        <f>B26</f>
        <v>Customers</v>
      </c>
      <c r="E26" s="38" t="s">
        <v>19</v>
      </c>
      <c r="F26" s="37" t="str">
        <f>B26</f>
        <v>Customers</v>
      </c>
      <c r="G26" s="38" t="s">
        <v>18</v>
      </c>
    </row>
    <row r="27" spans="1:9" ht="14.25">
      <c r="A27" s="39" t="s">
        <v>45</v>
      </c>
      <c r="B27" s="42">
        <f>B13+B20</f>
        <v>3921</v>
      </c>
      <c r="C27" s="43">
        <f>IF(B27=0,0,B27/'Summary Load Customers '!$B$22)</f>
        <v>1.3045604719175142E-2</v>
      </c>
      <c r="D27" s="42">
        <f>D13+D20</f>
        <v>95</v>
      </c>
      <c r="E27" s="43">
        <f>IF(D27=0,0,D27/('Summary Load Customers '!$D$22+'Summary Load Customers '!$F$22))</f>
        <v>2.5015140743081337E-3</v>
      </c>
      <c r="F27" s="42">
        <f>B27+D27</f>
        <v>4016</v>
      </c>
      <c r="G27" s="43">
        <f>IF(F27=0,0,F27/'Summary Load Customers '!$H$22)</f>
        <v>1.1862774636820683E-2</v>
      </c>
    </row>
    <row r="28" spans="1:9" ht="15">
      <c r="G28" s="49"/>
      <c r="H28" s="27"/>
    </row>
    <row r="29" spans="1:9" ht="15">
      <c r="A29" s="99" t="str">
        <f>"As the above table shows, "&amp;TEXT(F27,"0,000")&amp;" of UI's customers, or "&amp;TEXT(G27,"0.0%")&amp;" are participating in the combined REC programs."</f>
        <v>As the above table shows, 4,016 of UI's customers, or 1.2% are participating in the combined REC programs.</v>
      </c>
      <c r="G29" s="49"/>
      <c r="H29" s="27"/>
    </row>
    <row r="31" spans="1:9" ht="13.5">
      <c r="A31" s="66" t="s">
        <v>31</v>
      </c>
    </row>
    <row r="32" spans="1:9" ht="13.5">
      <c r="A32" s="66"/>
    </row>
    <row r="33" spans="1:1" ht="13.5">
      <c r="A33" s="66" t="s">
        <v>53</v>
      </c>
    </row>
    <row r="34" spans="1:1">
      <c r="A34" s="67" t="s">
        <v>51</v>
      </c>
    </row>
    <row r="36" spans="1:1">
      <c r="A36" s="67" t="s">
        <v>17</v>
      </c>
    </row>
  </sheetData>
  <mergeCells count="1">
    <mergeCell ref="A2:H2"/>
  </mergeCells>
  <phoneticPr fontId="10" type="noConversion"/>
  <printOptions horizontalCentered="1"/>
  <pageMargins left="0.75" right="0.5" top="1.5" bottom="1" header="0.5" footer="0.5"/>
  <pageSetup scale="89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Zeros="0" zoomScale="110" zoomScaleNormal="110" workbookViewId="0">
      <selection activeCell="C16" sqref="C16"/>
    </sheetView>
  </sheetViews>
  <sheetFormatPr defaultColWidth="9.140625" defaultRowHeight="11.25"/>
  <cols>
    <col min="1" max="1" width="28" style="74" customWidth="1"/>
    <col min="2" max="3" width="19.140625" style="74" customWidth="1"/>
    <col min="4" max="4" width="20.28515625" style="74" customWidth="1"/>
    <col min="5" max="5" width="7.140625" style="74" customWidth="1"/>
    <col min="6" max="6" width="23.28515625" style="74" bestFit="1" customWidth="1"/>
    <col min="7" max="7" width="10.42578125" style="74" customWidth="1"/>
    <col min="8" max="16384" width="9.140625" style="74"/>
  </cols>
  <sheetData>
    <row r="1" spans="1:9" s="73" customFormat="1" ht="15" customHeight="1">
      <c r="A1" s="122" t="str">
        <f>'Summary Load Customers '!A1</f>
        <v>The United Illuminating Company</v>
      </c>
      <c r="B1" s="122"/>
      <c r="C1" s="122"/>
      <c r="D1" s="122"/>
      <c r="E1" s="71"/>
      <c r="F1" s="71"/>
      <c r="G1" s="72"/>
    </row>
    <row r="2" spans="1:9" s="8" customFormat="1" ht="18" customHeight="1">
      <c r="A2" s="123" t="s">
        <v>55</v>
      </c>
      <c r="B2" s="123"/>
      <c r="C2" s="123"/>
      <c r="D2" s="123"/>
      <c r="E2" s="23"/>
      <c r="F2" s="23"/>
      <c r="G2" s="24"/>
      <c r="H2" s="25"/>
      <c r="I2" s="25"/>
    </row>
    <row r="3" spans="1:9" s="73" customFormat="1" ht="15" customHeight="1">
      <c r="A3" s="122" t="s">
        <v>34</v>
      </c>
      <c r="B3" s="122"/>
      <c r="C3" s="122"/>
      <c r="D3" s="122"/>
      <c r="E3" s="71"/>
      <c r="F3" s="71"/>
      <c r="G3" s="72"/>
    </row>
    <row r="4" spans="1:9" s="73" customFormat="1" ht="15" customHeight="1">
      <c r="A4" s="122" t="s">
        <v>1</v>
      </c>
      <c r="B4" s="122"/>
      <c r="C4" s="122"/>
      <c r="D4" s="122"/>
      <c r="E4" s="71"/>
      <c r="F4" s="71"/>
      <c r="G4" s="72"/>
    </row>
    <row r="5" spans="1:9" s="73" customFormat="1" ht="15" customHeight="1">
      <c r="A5" s="122" t="str">
        <f>'Summary Load Customers '!A6</f>
        <v>Data as of July 31 2019</v>
      </c>
      <c r="B5" s="122"/>
      <c r="C5" s="122"/>
      <c r="D5" s="122"/>
      <c r="E5" s="71"/>
      <c r="F5" s="71"/>
      <c r="G5" s="72"/>
    </row>
    <row r="6" spans="1:9">
      <c r="C6" s="75"/>
      <c r="D6" s="75"/>
      <c r="E6" s="75"/>
      <c r="F6" s="75"/>
      <c r="G6" s="75"/>
    </row>
    <row r="7" spans="1:9" s="81" customFormat="1" ht="22.5">
      <c r="A7" s="76" t="s">
        <v>36</v>
      </c>
      <c r="B7" s="77" t="s">
        <v>4</v>
      </c>
      <c r="C7" s="76" t="s">
        <v>5</v>
      </c>
      <c r="D7" s="76" t="s">
        <v>32</v>
      </c>
      <c r="E7" s="78"/>
      <c r="F7" s="78"/>
      <c r="G7" s="79"/>
      <c r="H7" s="80"/>
    </row>
    <row r="8" spans="1:9">
      <c r="A8" s="82" t="s">
        <v>35</v>
      </c>
      <c r="B8" s="83"/>
      <c r="C8" s="84"/>
      <c r="D8" s="85">
        <f>IF(C8=0,0,C8)</f>
        <v>0</v>
      </c>
      <c r="E8" s="75"/>
      <c r="F8" s="75"/>
      <c r="G8" s="86"/>
      <c r="H8" s="75"/>
    </row>
    <row r="9" spans="1:9">
      <c r="A9" s="82" t="s">
        <v>14</v>
      </c>
      <c r="B9" s="84">
        <v>121</v>
      </c>
      <c r="C9" s="84">
        <v>2</v>
      </c>
      <c r="D9" s="85">
        <f>SUM(B9:C9)</f>
        <v>123</v>
      </c>
      <c r="E9" s="87"/>
      <c r="F9" s="87"/>
      <c r="G9" s="86"/>
      <c r="H9" s="75"/>
    </row>
    <row r="10" spans="1:9">
      <c r="A10" s="82" t="s">
        <v>15</v>
      </c>
      <c r="B10" s="84">
        <v>2716</v>
      </c>
      <c r="C10" s="84">
        <v>34</v>
      </c>
      <c r="D10" s="85">
        <f>SUM(B10:C10)</f>
        <v>2750</v>
      </c>
      <c r="E10" s="88"/>
      <c r="F10" s="89"/>
      <c r="G10" s="86"/>
      <c r="H10" s="75"/>
    </row>
    <row r="11" spans="1:9">
      <c r="A11" s="90" t="s">
        <v>6</v>
      </c>
      <c r="B11" s="91">
        <f>IF(B9+B10=0,0,B9+B10)</f>
        <v>2837</v>
      </c>
      <c r="C11" s="91">
        <f>IF(SUM(C8:C10)=0,0,SUM(C8:C10))</f>
        <v>36</v>
      </c>
      <c r="D11" s="91">
        <f>IF(SUM(D8:D10)=0,0,SUM(D8:D10))</f>
        <v>2873</v>
      </c>
      <c r="E11" s="88"/>
      <c r="F11" s="89"/>
      <c r="G11" s="86"/>
      <c r="H11" s="75"/>
    </row>
    <row r="12" spans="1:9">
      <c r="A12" s="75"/>
      <c r="B12" s="92"/>
      <c r="C12" s="92"/>
      <c r="D12" s="92"/>
      <c r="E12" s="88"/>
      <c r="F12" s="89"/>
      <c r="G12" s="93"/>
      <c r="H12" s="75"/>
    </row>
    <row r="13" spans="1:9" ht="22.5">
      <c r="A13" s="76" t="s">
        <v>39</v>
      </c>
      <c r="B13" s="76" t="s">
        <v>4</v>
      </c>
      <c r="C13" s="76" t="str">
        <f>C7</f>
        <v>Business</v>
      </c>
      <c r="D13" s="76" t="s">
        <v>32</v>
      </c>
      <c r="E13" s="94"/>
      <c r="F13" s="95"/>
      <c r="G13" s="93"/>
      <c r="H13" s="75"/>
    </row>
    <row r="14" spans="1:9">
      <c r="A14" s="82" t="s">
        <v>35</v>
      </c>
      <c r="B14" s="83"/>
      <c r="C14" s="84"/>
      <c r="D14" s="85">
        <f>IF(C14=0,0,C14)</f>
        <v>0</v>
      </c>
      <c r="E14" s="75"/>
      <c r="F14" s="75"/>
      <c r="G14" s="93"/>
      <c r="H14" s="75"/>
    </row>
    <row r="15" spans="1:9">
      <c r="A15" s="82" t="s">
        <v>14</v>
      </c>
      <c r="B15" s="84">
        <v>2</v>
      </c>
      <c r="C15" s="84">
        <v>0</v>
      </c>
      <c r="D15" s="85">
        <f>SUM(B15:C15)</f>
        <v>2</v>
      </c>
      <c r="E15" s="87"/>
      <c r="F15" s="87"/>
      <c r="G15" s="86"/>
      <c r="H15" s="75"/>
    </row>
    <row r="16" spans="1:9">
      <c r="A16" s="82" t="s">
        <v>15</v>
      </c>
      <c r="B16" s="84">
        <v>468</v>
      </c>
      <c r="C16" s="84">
        <v>1</v>
      </c>
      <c r="D16" s="85">
        <f>SUM(B16:C16)</f>
        <v>469</v>
      </c>
      <c r="E16" s="88"/>
      <c r="F16" s="89"/>
      <c r="G16" s="86"/>
      <c r="H16" s="75"/>
    </row>
    <row r="17" spans="1:8">
      <c r="A17" s="90" t="str">
        <f>A11</f>
        <v>Total</v>
      </c>
      <c r="B17" s="91">
        <f>IF(B15+B16=0,0,B15+B16)</f>
        <v>470</v>
      </c>
      <c r="C17" s="91">
        <f>IF(SUM(C14:C16)=0,0,SUM(C14:C16))</f>
        <v>1</v>
      </c>
      <c r="D17" s="91">
        <f>IF(SUM(D14:D16)=0,0,SUM(D14:D16))</f>
        <v>471</v>
      </c>
      <c r="E17" s="88"/>
      <c r="F17" s="89"/>
      <c r="G17" s="86"/>
      <c r="H17" s="75"/>
    </row>
    <row r="18" spans="1:8">
      <c r="A18" s="75"/>
      <c r="B18" s="75"/>
      <c r="C18" s="75"/>
      <c r="D18" s="75"/>
      <c r="E18" s="88"/>
      <c r="F18" s="89"/>
      <c r="G18" s="93"/>
      <c r="H18" s="75"/>
    </row>
    <row r="19" spans="1:8" ht="22.5">
      <c r="A19" s="76" t="s">
        <v>40</v>
      </c>
      <c r="B19" s="76" t="s">
        <v>4</v>
      </c>
      <c r="C19" s="76" t="str">
        <f>C7</f>
        <v>Business</v>
      </c>
      <c r="D19" s="76" t="s">
        <v>32</v>
      </c>
      <c r="E19" s="94"/>
      <c r="F19" s="95"/>
      <c r="G19" s="93"/>
      <c r="H19" s="75"/>
    </row>
    <row r="20" spans="1:8">
      <c r="A20" s="82" t="s">
        <v>35</v>
      </c>
      <c r="B20" s="83"/>
      <c r="C20" s="96">
        <f t="shared" ref="C20:D21" si="0">IF(C8+C14=0,0,C8+C14)</f>
        <v>0</v>
      </c>
      <c r="D20" s="85"/>
      <c r="E20" s="93"/>
      <c r="F20" s="93"/>
      <c r="G20" s="93"/>
      <c r="H20" s="75"/>
    </row>
    <row r="21" spans="1:8">
      <c r="A21" s="82" t="s">
        <v>14</v>
      </c>
      <c r="B21" s="96">
        <f>IF(B9+B15=0,0,B9+B15)</f>
        <v>123</v>
      </c>
      <c r="C21" s="96">
        <f>IF(C9+C15=0,0,C9+C15)</f>
        <v>2</v>
      </c>
      <c r="D21" s="85">
        <f t="shared" si="0"/>
        <v>125</v>
      </c>
      <c r="E21" s="86"/>
      <c r="F21" s="93"/>
      <c r="G21" s="93"/>
      <c r="H21" s="75"/>
    </row>
    <row r="22" spans="1:8">
      <c r="A22" s="82" t="s">
        <v>15</v>
      </c>
      <c r="B22" s="96">
        <f>IF(B10+B16=0,0,B10+B16)</f>
        <v>3184</v>
      </c>
      <c r="C22" s="96">
        <f>IF(C10+C16=0,0,C10+C16)</f>
        <v>35</v>
      </c>
      <c r="D22" s="85">
        <f>IF(D10+D16=0,0,D10+D16)</f>
        <v>3219</v>
      </c>
      <c r="E22" s="75"/>
      <c r="F22" s="93"/>
      <c r="G22" s="93"/>
      <c r="H22" s="75"/>
    </row>
    <row r="23" spans="1:8">
      <c r="A23" s="90" t="str">
        <f>A11</f>
        <v>Total</v>
      </c>
      <c r="B23" s="91">
        <f>IF(B21+B22=0,0,B21+B22)</f>
        <v>3307</v>
      </c>
      <c r="C23" s="91">
        <f>IF(SUM(C20:C22)=0,0,SUM(C20:C22))</f>
        <v>37</v>
      </c>
      <c r="D23" s="91">
        <f>SUM(D20:D22)</f>
        <v>3344</v>
      </c>
      <c r="E23" s="75"/>
      <c r="F23" s="93"/>
      <c r="G23" s="93"/>
      <c r="H23" s="75"/>
    </row>
    <row r="24" spans="1:8">
      <c r="B24" s="75"/>
      <c r="C24" s="75"/>
      <c r="E24" s="75"/>
      <c r="F24" s="93"/>
      <c r="G24" s="93"/>
      <c r="H24" s="75"/>
    </row>
    <row r="25" spans="1:8" ht="22.5">
      <c r="A25" s="76" t="s">
        <v>37</v>
      </c>
      <c r="B25" s="76" t="s">
        <v>4</v>
      </c>
      <c r="C25" s="76" t="s">
        <v>5</v>
      </c>
      <c r="D25" s="76" t="s">
        <v>32</v>
      </c>
    </row>
    <row r="26" spans="1:8">
      <c r="A26" s="82" t="s">
        <v>35</v>
      </c>
      <c r="B26" s="83"/>
      <c r="C26" s="96">
        <f>IF(C14+C20=0,0,C14+C20)</f>
        <v>0</v>
      </c>
      <c r="D26" s="85">
        <f>IF(C26=0,0,C26)</f>
        <v>0</v>
      </c>
    </row>
    <row r="27" spans="1:8">
      <c r="A27" s="82" t="s">
        <v>14</v>
      </c>
      <c r="B27" s="84">
        <v>182</v>
      </c>
      <c r="C27" s="84">
        <v>11</v>
      </c>
      <c r="D27" s="85">
        <f>SUM(B27:C27)</f>
        <v>193</v>
      </c>
    </row>
    <row r="28" spans="1:8">
      <c r="A28" s="82" t="s">
        <v>15</v>
      </c>
      <c r="B28" s="84">
        <v>432</v>
      </c>
      <c r="C28" s="84">
        <v>47</v>
      </c>
      <c r="D28" s="85">
        <f>SUM(B28:C28)</f>
        <v>479</v>
      </c>
    </row>
    <row r="29" spans="1:8">
      <c r="A29" s="90" t="str">
        <f>A23</f>
        <v>Total</v>
      </c>
      <c r="B29" s="110">
        <f>IF(B27+B28=0,0,B27+B28)</f>
        <v>614</v>
      </c>
      <c r="C29" s="91">
        <f>IF(SUM(C26:C28)=0,0,SUM(C26:C28))</f>
        <v>58</v>
      </c>
      <c r="D29" s="91">
        <f>IF(SUM(D26:D28)=0,0,SUM(D26:D28))</f>
        <v>672</v>
      </c>
    </row>
    <row r="31" spans="1:8">
      <c r="A31" s="76" t="s">
        <v>38</v>
      </c>
      <c r="B31" s="76" t="s">
        <v>4</v>
      </c>
      <c r="C31" s="76" t="str">
        <f>C19</f>
        <v>Business</v>
      </c>
      <c r="D31" s="76" t="s">
        <v>32</v>
      </c>
    </row>
    <row r="32" spans="1:8">
      <c r="A32" s="82" t="s">
        <v>35</v>
      </c>
      <c r="B32" s="83">
        <f>B20+B26</f>
        <v>0</v>
      </c>
      <c r="C32" s="96">
        <f t="shared" ref="C32:D34" si="1">C20+C26</f>
        <v>0</v>
      </c>
      <c r="D32" s="85">
        <f t="shared" si="1"/>
        <v>0</v>
      </c>
    </row>
    <row r="33" spans="1:7">
      <c r="A33" s="82" t="s">
        <v>14</v>
      </c>
      <c r="B33" s="96">
        <f>B21+B27</f>
        <v>305</v>
      </c>
      <c r="C33" s="96">
        <f t="shared" si="1"/>
        <v>13</v>
      </c>
      <c r="D33" s="85">
        <f t="shared" si="1"/>
        <v>318</v>
      </c>
      <c r="E33" s="75"/>
      <c r="F33" s="75"/>
      <c r="G33" s="75"/>
    </row>
    <row r="34" spans="1:7">
      <c r="A34" s="82" t="s">
        <v>15</v>
      </c>
      <c r="B34" s="96">
        <f>B22+B28</f>
        <v>3616</v>
      </c>
      <c r="C34" s="96">
        <f t="shared" si="1"/>
        <v>82</v>
      </c>
      <c r="D34" s="85">
        <f t="shared" si="1"/>
        <v>3698</v>
      </c>
    </row>
    <row r="35" spans="1:7">
      <c r="A35" s="90" t="str">
        <f>A29</f>
        <v>Total</v>
      </c>
      <c r="B35" s="91">
        <f>IF(B33+B34=0,0,B33+B34)</f>
        <v>3921</v>
      </c>
      <c r="C35" s="91">
        <f>IF(SUM(C32:C34)=0,0,SUM(C32:C34))</f>
        <v>95</v>
      </c>
      <c r="D35" s="91">
        <f>SUM(D32:D34)</f>
        <v>4016</v>
      </c>
    </row>
    <row r="37" spans="1:7">
      <c r="A37" s="97" t="str">
        <f>"In summary, "&amp;TEXT($D$23,"0,000")&amp; " of UI's customers are participating in the CTCleanEnergyOptions Program"</f>
        <v>In summary, 3,344 of UI's customers are participating in the CTCleanEnergyOptions Program</v>
      </c>
    </row>
    <row r="38" spans="1:7">
      <c r="A38" s="97" t="str">
        <f>"In summary, "&amp;TEXT($D$29,"000")&amp; " of UI's customers are participating in RECs only with Sterling Planet"</f>
        <v>In summary, 672 of UI's customers are participating in RECs only with Sterling Planet</v>
      </c>
    </row>
    <row r="39" spans="1:7">
      <c r="A39" s="97" t="str">
        <f>"In summary, "&amp;TEXT($D$35,"0,000")&amp; " of UI's customers are participating in all REC programs"</f>
        <v>In summary, 4,016 of UI's customers are participating in all REC programs</v>
      </c>
    </row>
    <row r="41" spans="1:7">
      <c r="A41" s="98" t="s">
        <v>20</v>
      </c>
    </row>
    <row r="42" spans="1:7">
      <c r="A42" s="75" t="s">
        <v>16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1.75" bottom="0.5" header="0.5" footer="0"/>
  <pageSetup orientation="portrait" r:id="rId1"/>
  <headerFooter alignWithMargins="0">
    <oddHeader xml:space="preserve">&amp;RPage 4 of 4
</oddHeader>
  </headerFooter>
  <ignoredErrors>
    <ignoredError sqref="C20 C26 C32 C33:C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Paul Wehner</cp:lastModifiedBy>
  <cp:lastPrinted>2018-02-15T14:56:05Z</cp:lastPrinted>
  <dcterms:created xsi:type="dcterms:W3CDTF">2009-03-17T13:14:28Z</dcterms:created>
  <dcterms:modified xsi:type="dcterms:W3CDTF">2019-08-16T17:55:31Z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2019-03-20 UI ATSO Switches to Alternate Suppliers Attachment 1 06-10-22.xlsx</vt:lpwstr>
  </property>
  <property fmtid="{D5CDD505-2E9C-101B-9397-08002B2CF9AE}" pid="3" name="_AdHocReviewCycleID">
    <vt:i4>1621117764</vt:i4>
  </property>
  <property fmtid="{D5CDD505-2E9C-101B-9397-08002B2CF9AE}" pid="4" name="_NewReviewCycle">
    <vt:lpwstr/>
  </property>
  <property fmtid="{D5CDD505-2E9C-101B-9397-08002B2CF9AE}" pid="5" name="_EmailSubject">
    <vt:lpwstr>Website 06-10-22</vt:lpwstr>
  </property>
  <property fmtid="{D5CDD505-2E9C-101B-9397-08002B2CF9AE}" pid="6" name="_AuthorEmail">
    <vt:lpwstr>Cheryl.DeFrancesco@uinet.com</vt:lpwstr>
  </property>
  <property fmtid="{D5CDD505-2E9C-101B-9397-08002B2CF9AE}" pid="7" name="_AuthorEmailDisplayName">
    <vt:lpwstr>Cheryl DeFrancesco</vt:lpwstr>
  </property>
</Properties>
</file>