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  <externalReference r:id="rId7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/>
  <c r="F11" i="7"/>
  <c r="D12" i="7"/>
  <c r="D11" i="7"/>
  <c r="B12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<sst xmlns="http://schemas.openxmlformats.org/spreadsheetml/2006/main" count="159" uniqueCount="93">
  <si>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</si>
  <si>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</si>
  <si>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</si>
  <si>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</si>
  <si>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</si>
  <si>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</si>
  <si>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</si>
  <si>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</si>
  <si>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</si>
  <si>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</si>
  <si>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</si>
  <si>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</si>
  <si>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</si>
  <si>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</si>
  <si>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</si>
  <si>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</si>
  <si>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</si>
  <si>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</si>
  <si>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</si>
  <si>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</si>
  <si>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</si>
  <si>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</si>
  <si>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</si>
  <si>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</si>
  <si>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</si>
  <si>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</si>
  <si>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</si>
  <si>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</si>
  <si>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</si>
  <si>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</si>
  <si>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</si>
  <si>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</si>
  <si>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</si>
  <si>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</si>
  <si>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</si>
  <si>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</si>
  <si>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</si>
  <si>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</si>
  <si>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</si>
  <si>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</si>
  <si>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</si>
  <si>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</si>
  <si>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</si>
  <si>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</si>
  <si>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</si>
  <si>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</si>
  <si>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</si>
  <si>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</si>
  <si>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</si>
  <si>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</si>
  <si>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</si>
  <si>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</si>
  <si>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</si>
  <si>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</si>
  <si>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</si>
  <si>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</si>
  <si>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</si>
  <si>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</si>
  <si>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</si>
  <si>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</si>
  <si>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</si>
  <si>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</si>
  <si>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</si>
  <si>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</si>
  <si>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</si>
  <si>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</si>
  <si>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</si>
  <si>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</si>
  <si>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</si>
  <si>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</si>
  <si>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</si>
  <si>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</si>
  <si>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</si>
  <si>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</si>
  <si>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</si>
  <si>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</si>
  <si>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</si>
  <si>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</si>
  <si>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</si>
  <si>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</si>
  <si>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</si>
  <si>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</si>
  <si>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</si>
  <si>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</si>
  <si>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</si>
  <si>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</si>
  <si>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</si>
  <si>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</si>
  <si>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</si>
  <si>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</si>
  <si>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</si>
  <si>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</si>
  <si>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August 31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</si>
</sst>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0" xfId="0" applyNumberFormat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08_August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Supplier%20Counts/2019-07/Customer_count_files/201908_August_2019_customer_count_calculat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Supplier%20Counts/Customer_count_files/2019/201908_August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71595.698999999964</v>
          </cell>
        </row>
        <row r="25">
          <cell r="H25">
            <v>135848.73699999985</v>
          </cell>
        </row>
        <row r="26">
          <cell r="H26">
            <v>87646.311000000002</v>
          </cell>
        </row>
        <row r="29">
          <cell r="H29">
            <v>153044.71000000002</v>
          </cell>
        </row>
        <row r="30">
          <cell r="H30">
            <v>55891.598999999995</v>
          </cell>
        </row>
        <row r="31">
          <cell r="H31">
            <v>7182.0310000000009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89189</v>
          </cell>
        </row>
      </sheetData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B19">
            <v>19816</v>
          </cell>
        </row>
        <row r="20">
          <cell r="B20">
            <v>222</v>
          </cell>
        </row>
        <row r="22">
          <cell r="B22">
            <v>211758</v>
          </cell>
        </row>
        <row r="23">
          <cell r="B23">
            <v>17935</v>
          </cell>
        </row>
        <row r="24">
          <cell r="B24">
            <v>20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F21" sqref="F21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92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>
      <c r="A11" s="39" t="s">
        <v>10</v>
      </c>
      <c r="B11" s="68">
        <f>[1]Check!$H$24</f>
        <v>71595.698999999964</v>
      </c>
      <c r="C11" s="40">
        <f>IF(B11=0,0,B11/$B$13)</f>
        <v>0.3187124672658514</v>
      </c>
      <c r="D11" s="68">
        <f>[1]Check!$H$25</f>
        <v>135848.73699999985</v>
      </c>
      <c r="E11" s="40">
        <f>IF(D11=0,0,D11/$D$13)</f>
        <v>0.70850369741711505</v>
      </c>
      <c r="F11" s="68">
        <f>[1]Check!$H$26</f>
        <v>87646.311000000002</v>
      </c>
      <c r="G11" s="40">
        <f>IF(F11=0,0,F11/$F$13)</f>
        <v>0.92426282218453215</v>
      </c>
      <c r="H11" s="41">
        <f>IF(B11+D11+F11=0,0,B11+D11+F11)</f>
        <v>295090.7469999998</v>
      </c>
      <c r="I11" s="40">
        <f>IF(H11=0,0,H11/$H$13)</f>
        <v>0.57724080910165809</v>
      </c>
    </row>
    <row r="12" spans="1:15" ht="18" customHeight="1">
      <c r="A12" s="39" t="s">
        <v>11</v>
      </c>
      <c r="B12" s="69">
        <f>[1]Check!$H$29</f>
        <v>153044.71000000002</v>
      </c>
      <c r="C12" s="40">
        <f>IF(B12=0,0,B12/$B$13)</f>
        <v>0.68128753273414866</v>
      </c>
      <c r="D12" s="69">
        <f>[1]Check!$H$30</f>
        <v>55891.598999999995</v>
      </c>
      <c r="E12" s="40">
        <f>IF(D12=0,0,D12/$D$13)</f>
        <v>0.291496302582885</v>
      </c>
      <c r="F12" s="69">
        <f>[1]Check!$H$31</f>
        <v>7182.0310000000009</v>
      </c>
      <c r="G12" s="40">
        <f>IF(F12=0,0,F12/$F$13)</f>
        <v>7.5737177815467877E-2</v>
      </c>
      <c r="H12" s="102">
        <f>IF(B12+D12+F12=0,0,B12+D12+F12)</f>
        <v>216118.34</v>
      </c>
      <c r="I12" s="40">
        <f>IF(H12=0,0,H12/$H$13)</f>
        <v>0.42275919089834191</v>
      </c>
    </row>
    <row r="13" spans="1:15" ht="18" customHeight="1">
      <c r="A13" s="107" t="s">
        <v>6</v>
      </c>
      <c r="B13" s="42">
        <f>SUM(B11:B12)</f>
        <v>224640.40899999999</v>
      </c>
      <c r="C13" s="43"/>
      <c r="D13" s="42">
        <f>SUM(D11:D12)</f>
        <v>191740.33599999984</v>
      </c>
      <c r="E13" s="43"/>
      <c r="F13" s="42">
        <f>SUM(F11:F12)</f>
        <v>94828.342000000004</v>
      </c>
      <c r="G13" s="43"/>
      <c r="H13" s="42">
        <f>IF(H11+H12=0,0,H11+H12)</f>
        <v>511209.08699999982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295,091 MWh, or 57.7%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216,118 MHh, or 42.3%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>
      <c r="A20" s="39" t="str">
        <f>A11</f>
        <v>Suppliers</v>
      </c>
      <c r="B20" s="68">
        <f>[2]Summary!$B$18</f>
        <v>89189</v>
      </c>
      <c r="C20" s="40">
        <f>IF(B20=0,0,B20/$B$22)</f>
        <v>0.29636115329277246</v>
      </c>
      <c r="D20" s="68">
        <f>[3]Summary!$B$19</f>
        <v>19816</v>
      </c>
      <c r="E20" s="53">
        <f>IF(D20=0,0,D20/$D$22)</f>
        <v>0.52491324733119649</v>
      </c>
      <c r="F20" s="68">
        <f>[3]Summary!$B$20</f>
        <v>222</v>
      </c>
      <c r="G20" s="40">
        <f>IF(F20=0,0,F20/$F$22)</f>
        <v>0.9173553719008265</v>
      </c>
      <c r="H20" s="41">
        <f>IF(B20+D20+F20=0,0,B20+D20+F20)</f>
        <v>109227</v>
      </c>
      <c r="I20" s="40">
        <f>IF(H20=0,0,H20/$H$22)</f>
        <v>0.32226057709329087</v>
      </c>
      <c r="J20" s="54"/>
      <c r="K20" s="54"/>
      <c r="M20" s="101"/>
    </row>
    <row r="21" spans="1:17" ht="18" customHeight="1">
      <c r="A21" s="39" t="str">
        <f>A12</f>
        <v>UI</v>
      </c>
      <c r="B21" s="69">
        <f>[3]Summary!$B$22</f>
        <v>211758</v>
      </c>
      <c r="C21" s="40">
        <f>IF(B21=0,0,B21/$B$22)</f>
        <v>0.70363884670722754</v>
      </c>
      <c r="D21" s="69">
        <f>[3]Summary!$B$23</f>
        <v>17935</v>
      </c>
      <c r="E21" s="53">
        <f>IF(D21=0,0,D21/$D$22)</f>
        <v>0.47508675266880346</v>
      </c>
      <c r="F21" s="69">
        <f>[3]Summary!$B$24</f>
        <v>20</v>
      </c>
      <c r="G21" s="40">
        <f>IF(F21=0,0,F21/$F$22)</f>
        <v>8.2644628099173556E-2</v>
      </c>
      <c r="H21" s="69">
        <f>IF(B21+D21+F21=0,0,B21+D21+F21)</f>
        <v>229713</v>
      </c>
      <c r="I21" s="40">
        <f>IF(H21=0,0,H21/$H$22)</f>
        <v>0.67773942290670919</v>
      </c>
    </row>
    <row r="22" spans="1:17" ht="18" customHeight="1">
      <c r="A22" s="39" t="str">
        <f>A13</f>
        <v>Total</v>
      </c>
      <c r="B22" s="42">
        <f>SUM(B20:B21)</f>
        <v>300947</v>
      </c>
      <c r="C22" s="55"/>
      <c r="D22" s="42">
        <f>SUM(D20:D21)</f>
        <v>37751</v>
      </c>
      <c r="E22" s="43"/>
      <c r="F22" s="42">
        <f>SUM(F20:F21)</f>
        <v>242</v>
      </c>
      <c r="G22" s="43"/>
      <c r="H22" s="42">
        <f>IF(H20+H21=0,0,H20+H21)</f>
        <v>338940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109,227 of UI's total customers, or 32.2%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229,713 or 67.8%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27</v>
      </c>
      <c r="I28" s="101"/>
    </row>
    <row r="29" spans="1:17" ht="13.5">
      <c r="A29" s="66" t="s">
        <v>31</v>
      </c>
    </row>
    <row r="30" spans="1:17" ht="13.5">
      <c r="A30" s="66" t="s">
        <v>49</v>
      </c>
    </row>
    <row r="31" spans="1:17">
      <c r="A31" s="67" t="s">
        <v>17</v>
      </c>
    </row>
    <row r="32" spans="1:17">
      <c r="A32" s="67" t="s">
        <v>23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showZeros="0" zoomScaleNormal="100" workbookViewId="0">
      <selection activeCell="E52" sqref="E52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>
      <c r="A3" s="12" t="s">
        <v>91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August 31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>
      <c r="A9" s="105">
        <v>1</v>
      </c>
      <c r="B9" t="s">
        <v>59</v>
      </c>
      <c r="C9" s="115">
        <v>151</v>
      </c>
      <c r="D9" s="117">
        <v>167</v>
      </c>
      <c r="E9" s="119">
        <v>318</v>
      </c>
      <c r="F9" s="21">
        <f t="shared" ref="F9:F45" si="0">IF(E9=0,"",E9/$E$46)</f>
        <v>2.9119279160485689E-3</v>
      </c>
    </row>
    <row r="10" spans="1:11" ht="14.25" customHeight="1">
      <c r="A10" s="105">
        <v>2</v>
      </c>
      <c r="B10" t="s">
        <v>56</v>
      </c>
      <c r="C10" s="116">
        <v>546</v>
      </c>
      <c r="D10" s="118">
        <v>1126</v>
      </c>
      <c r="E10" s="120">
        <v>1672</v>
      </c>
      <c r="F10" s="21">
        <f t="shared" si="0"/>
        <v>1.5310514074318261E-2</v>
      </c>
    </row>
    <row r="11" spans="1:11" ht="14.25" customHeight="1">
      <c r="A11" s="105">
        <v>3</v>
      </c>
      <c r="B11" t="s">
        <v>50</v>
      </c>
      <c r="C11" s="116">
        <v>8579</v>
      </c>
      <c r="D11" s="118">
        <v>792</v>
      </c>
      <c r="E11" s="120">
        <v>9371</v>
      </c>
      <c r="F11" s="21">
        <f t="shared" si="0"/>
        <v>8.581030346317968E-2</v>
      </c>
    </row>
    <row r="12" spans="1:11" ht="14.25" customHeight="1">
      <c r="A12" s="105">
        <v>4</v>
      </c>
      <c r="B12" t="s">
        <v>60</v>
      </c>
      <c r="C12" s="116">
        <v>17</v>
      </c>
      <c r="D12" s="118">
        <v>3014</v>
      </c>
      <c r="E12" s="120">
        <v>3031</v>
      </c>
      <c r="F12" s="21">
        <f t="shared" si="0"/>
        <v>2.7754885262714503E-2</v>
      </c>
    </row>
    <row r="13" spans="1:11" ht="14.25" customHeight="1">
      <c r="A13" s="105">
        <v>5</v>
      </c>
      <c r="B13" t="s">
        <v>61</v>
      </c>
      <c r="C13" s="116">
        <v>16</v>
      </c>
      <c r="D13" s="118">
        <v>178</v>
      </c>
      <c r="E13" s="120">
        <v>194</v>
      </c>
      <c r="F13" s="21">
        <f t="shared" si="0"/>
        <v>1.776459168910133E-3</v>
      </c>
    </row>
    <row r="14" spans="1:11" ht="14.25" customHeight="1">
      <c r="A14" s="105">
        <v>6</v>
      </c>
      <c r="B14" t="s">
        <v>62</v>
      </c>
      <c r="C14" s="116">
        <v>508</v>
      </c>
      <c r="D14" s="118">
        <v>13</v>
      </c>
      <c r="E14" s="120">
        <v>521</v>
      </c>
      <c r="F14" s="21">
        <f t="shared" si="0"/>
        <v>4.7708001391864917E-3</v>
      </c>
    </row>
    <row r="15" spans="1:11" ht="14.25" customHeight="1">
      <c r="A15" s="105">
        <v>7</v>
      </c>
      <c r="B15" t="s">
        <v>63</v>
      </c>
      <c r="C15" s="116">
        <v>6559</v>
      </c>
      <c r="D15" s="118">
        <v>246</v>
      </c>
      <c r="E15" s="120">
        <v>6805</v>
      </c>
      <c r="F15" s="21">
        <f t="shared" si="0"/>
        <v>6.2313426002234308E-2</v>
      </c>
    </row>
    <row r="16" spans="1:11" ht="14.25" customHeight="1">
      <c r="A16" s="105">
        <v>8</v>
      </c>
      <c r="B16" t="s">
        <v>64</v>
      </c>
      <c r="C16" s="116">
        <v>521</v>
      </c>
      <c r="D16" s="118">
        <v>94</v>
      </c>
      <c r="E16" s="120">
        <v>615</v>
      </c>
      <c r="F16" s="21">
        <f t="shared" si="0"/>
        <v>5.6315587055656285E-3</v>
      </c>
    </row>
    <row r="17" spans="1:6" ht="14.25" customHeight="1">
      <c r="A17" s="105">
        <v>9</v>
      </c>
      <c r="B17" t="s">
        <v>65</v>
      </c>
      <c r="C17" s="116">
        <v>912</v>
      </c>
      <c r="D17" s="118">
        <v>4466</v>
      </c>
      <c r="E17" s="120">
        <v>5378</v>
      </c>
      <c r="F17" s="21">
        <f t="shared" si="0"/>
        <v>4.924637840411699E-2</v>
      </c>
    </row>
    <row r="18" spans="1:6" ht="14.25" customHeight="1">
      <c r="A18" s="105">
        <v>10</v>
      </c>
      <c r="B18" t="s">
        <v>66</v>
      </c>
      <c r="C18" s="116">
        <v>7776</v>
      </c>
      <c r="D18" s="118">
        <v>808</v>
      </c>
      <c r="E18" s="120">
        <v>8584</v>
      </c>
      <c r="F18" s="21">
        <f t="shared" si="0"/>
        <v>7.8603739721260737E-2</v>
      </c>
    </row>
    <row r="19" spans="1:6" ht="14.25" customHeight="1">
      <c r="A19" s="105">
        <v>11</v>
      </c>
      <c r="B19" t="s">
        <v>57</v>
      </c>
      <c r="C19" s="116">
        <v>211</v>
      </c>
      <c r="D19" s="118">
        <v>1457</v>
      </c>
      <c r="E19" s="120">
        <v>1668</v>
      </c>
      <c r="F19" s="21">
        <f t="shared" si="0"/>
        <v>1.527388605021702E-2</v>
      </c>
    </row>
    <row r="20" spans="1:6" ht="14.25" customHeight="1">
      <c r="A20" s="105">
        <v>12</v>
      </c>
      <c r="B20" t="s">
        <v>67</v>
      </c>
      <c r="C20" s="116">
        <v>7165</v>
      </c>
      <c r="D20" s="118">
        <v>1751</v>
      </c>
      <c r="E20" s="120">
        <v>8916</v>
      </c>
      <c r="F20" s="21">
        <f t="shared" si="0"/>
        <v>8.1643865721663642E-2</v>
      </c>
    </row>
    <row r="21" spans="1:6" ht="14.25" customHeight="1">
      <c r="A21" s="105">
        <v>13</v>
      </c>
      <c r="B21" t="s">
        <v>68</v>
      </c>
      <c r="C21" s="116">
        <v>3952</v>
      </c>
      <c r="D21" s="118">
        <v>270</v>
      </c>
      <c r="E21" s="120">
        <v>4222</v>
      </c>
      <c r="F21" s="21">
        <f t="shared" si="0"/>
        <v>3.8660879438858674E-2</v>
      </c>
    </row>
    <row r="22" spans="1:6" ht="14.25" customHeight="1">
      <c r="A22" s="105">
        <v>14</v>
      </c>
      <c r="B22" t="s">
        <v>69</v>
      </c>
      <c r="C22" s="116"/>
      <c r="D22" s="118">
        <v>66</v>
      </c>
      <c r="E22" s="120">
        <v>66</v>
      </c>
      <c r="F22" s="21">
        <f t="shared" si="0"/>
        <v>6.0436239767045765E-4</v>
      </c>
    </row>
    <row r="23" spans="1:6" ht="14.25" customHeight="1">
      <c r="A23" s="105">
        <v>15</v>
      </c>
      <c r="B23" t="s">
        <v>70</v>
      </c>
      <c r="C23" s="116">
        <v>4</v>
      </c>
      <c r="D23" s="118">
        <v>4</v>
      </c>
      <c r="E23" s="120">
        <v>8</v>
      </c>
      <c r="F23" s="21">
        <f t="shared" si="0"/>
        <v>7.3256048202479719E-5</v>
      </c>
    </row>
    <row r="24" spans="1:6" ht="14.25" customHeight="1">
      <c r="A24" s="105">
        <v>16</v>
      </c>
      <c r="B24" t="s">
        <v>71</v>
      </c>
      <c r="C24" s="116">
        <v>445</v>
      </c>
      <c r="D24" s="118">
        <v>95</v>
      </c>
      <c r="E24" s="120">
        <v>540</v>
      </c>
      <c r="F24" s="21">
        <f t="shared" si="0"/>
        <v>4.9447832536673808E-3</v>
      </c>
    </row>
    <row r="25" spans="1:6" ht="14.25" customHeight="1">
      <c r="A25" s="105">
        <v>17</v>
      </c>
      <c r="B25" t="s">
        <v>72</v>
      </c>
      <c r="C25" s="116">
        <v>49</v>
      </c>
      <c r="D25" s="118"/>
      <c r="E25" s="120">
        <v>49</v>
      </c>
      <c r="F25" s="21">
        <f t="shared" si="0"/>
        <v>4.4869329524018826E-4</v>
      </c>
    </row>
    <row r="26" spans="1:6" ht="14.25" customHeight="1">
      <c r="A26" s="105">
        <v>18</v>
      </c>
      <c r="B26" t="s">
        <v>73</v>
      </c>
      <c r="C26" s="116">
        <v>315</v>
      </c>
      <c r="D26" s="118">
        <v>1148</v>
      </c>
      <c r="E26" s="120">
        <v>1463</v>
      </c>
      <c r="F26" s="21">
        <f t="shared" si="0"/>
        <v>1.3396699815028478E-2</v>
      </c>
    </row>
    <row r="27" spans="1:6" ht="14.25" customHeight="1">
      <c r="A27" s="105">
        <v>19</v>
      </c>
      <c r="B27" t="s">
        <v>74</v>
      </c>
      <c r="C27" s="116">
        <v>301</v>
      </c>
      <c r="D27" s="118">
        <v>96</v>
      </c>
      <c r="E27" s="120">
        <v>397</v>
      </c>
      <c r="F27" s="21">
        <f t="shared" si="0"/>
        <v>3.6353313920480558E-3</v>
      </c>
    </row>
    <row r="28" spans="1:6" ht="14.25" customHeight="1">
      <c r="A28" s="105">
        <v>20</v>
      </c>
      <c r="B28" t="s">
        <v>12</v>
      </c>
      <c r="C28" s="116">
        <v>6682</v>
      </c>
      <c r="D28" s="118">
        <v>511</v>
      </c>
      <c r="E28" s="120">
        <v>7193</v>
      </c>
      <c r="F28" s="21">
        <f t="shared" si="0"/>
        <v>6.5866344340054575E-2</v>
      </c>
    </row>
    <row r="29" spans="1:6" ht="14.25" customHeight="1">
      <c r="A29" s="105">
        <v>21</v>
      </c>
      <c r="B29" t="s">
        <v>75</v>
      </c>
      <c r="C29" s="116">
        <v>987</v>
      </c>
      <c r="D29" s="118">
        <v>24</v>
      </c>
      <c r="E29" s="120">
        <v>1011</v>
      </c>
      <c r="F29" s="21">
        <f t="shared" si="0"/>
        <v>9.2577330915883747E-3</v>
      </c>
    </row>
    <row r="30" spans="1:6" ht="14.25" customHeight="1">
      <c r="A30" s="105">
        <v>22</v>
      </c>
      <c r="B30" t="s">
        <v>76</v>
      </c>
      <c r="C30" s="116">
        <v>174</v>
      </c>
      <c r="D30" s="118">
        <v>98</v>
      </c>
      <c r="E30" s="120">
        <v>272</v>
      </c>
      <c r="F30" s="21">
        <f t="shared" si="0"/>
        <v>2.4907056388843102E-3</v>
      </c>
    </row>
    <row r="31" spans="1:6" ht="14.25" customHeight="1">
      <c r="A31" s="105">
        <v>23</v>
      </c>
      <c r="B31" t="s">
        <v>77</v>
      </c>
      <c r="C31" s="116">
        <v>8</v>
      </c>
      <c r="D31" s="118">
        <v>1</v>
      </c>
      <c r="E31" s="120">
        <v>9</v>
      </c>
      <c r="F31" s="21">
        <f t="shared" si="0"/>
        <v>8.2413054227789683E-5</v>
      </c>
    </row>
    <row r="32" spans="1:6" ht="14.25" customHeight="1">
      <c r="A32" s="105">
        <v>24</v>
      </c>
      <c r="B32" t="s">
        <v>78</v>
      </c>
      <c r="C32" s="116">
        <v>215</v>
      </c>
      <c r="D32" s="118">
        <v>328</v>
      </c>
      <c r="E32" s="120">
        <v>543</v>
      </c>
      <c r="F32" s="21">
        <f t="shared" si="0"/>
        <v>4.9722542717433107E-3</v>
      </c>
    </row>
    <row r="33" spans="1:7" ht="14.25" customHeight="1">
      <c r="A33" s="105">
        <v>25</v>
      </c>
      <c r="B33" t="s">
        <v>79</v>
      </c>
      <c r="C33" s="116">
        <v>8057</v>
      </c>
      <c r="D33" s="118">
        <v>217</v>
      </c>
      <c r="E33" s="120">
        <v>8274</v>
      </c>
      <c r="F33" s="21">
        <f t="shared" si="0"/>
        <v>7.576506785341465E-2</v>
      </c>
    </row>
    <row r="34" spans="1:7" ht="14.25" customHeight="1">
      <c r="A34" s="105">
        <v>26</v>
      </c>
      <c r="B34" t="s">
        <v>80</v>
      </c>
      <c r="C34" s="116">
        <v>936</v>
      </c>
      <c r="D34" s="118">
        <v>224</v>
      </c>
      <c r="E34" s="120">
        <v>1160</v>
      </c>
      <c r="F34" s="21">
        <f t="shared" si="0"/>
        <v>1.0622126989359559E-2</v>
      </c>
    </row>
    <row r="35" spans="1:7" ht="14.25" customHeight="1">
      <c r="A35" s="105">
        <v>27</v>
      </c>
      <c r="B35" t="s">
        <v>81</v>
      </c>
      <c r="C35" s="116">
        <v>4595</v>
      </c>
      <c r="D35" s="118">
        <v>938</v>
      </c>
      <c r="E35" s="120">
        <v>5533</v>
      </c>
      <c r="F35" s="21">
        <f t="shared" si="0"/>
        <v>5.0665714338040034E-2</v>
      </c>
    </row>
    <row r="36" spans="1:7" ht="14.25" customHeight="1">
      <c r="A36" s="105">
        <v>28</v>
      </c>
      <c r="B36" t="s">
        <v>82</v>
      </c>
      <c r="C36" s="116">
        <v>436</v>
      </c>
      <c r="D36" s="118">
        <v>111</v>
      </c>
      <c r="E36" s="120">
        <v>547</v>
      </c>
      <c r="F36" s="21">
        <f t="shared" si="0"/>
        <v>5.0088822958445503E-3</v>
      </c>
    </row>
    <row r="37" spans="1:7" ht="14.25" customHeight="1">
      <c r="A37" s="105">
        <v>29</v>
      </c>
      <c r="B37" t="s">
        <v>83</v>
      </c>
      <c r="C37" s="116">
        <v>2933</v>
      </c>
      <c r="D37" s="118">
        <v>191</v>
      </c>
      <c r="E37" s="120">
        <v>3124</v>
      </c>
      <c r="F37" s="21">
        <f t="shared" si="0"/>
        <v>2.8606486823068329E-2</v>
      </c>
    </row>
    <row r="38" spans="1:7" ht="14.25" customHeight="1">
      <c r="A38" s="105">
        <v>30</v>
      </c>
      <c r="B38" t="s">
        <v>84</v>
      </c>
      <c r="C38" s="116">
        <v>1573</v>
      </c>
      <c r="D38" s="118">
        <v>185</v>
      </c>
      <c r="E38" s="120">
        <v>1758</v>
      </c>
      <c r="F38" s="21">
        <f t="shared" si="0"/>
        <v>1.6098016592494917E-2</v>
      </c>
    </row>
    <row r="39" spans="1:7" ht="14.25" customHeight="1">
      <c r="A39" s="105">
        <v>31</v>
      </c>
      <c r="B39" t="s">
        <v>85</v>
      </c>
      <c r="C39" s="116"/>
      <c r="D39" s="118">
        <v>13</v>
      </c>
      <c r="E39" s="120">
        <v>13</v>
      </c>
      <c r="F39" s="21">
        <f t="shared" si="0"/>
        <v>1.1904107832902954E-4</v>
      </c>
    </row>
    <row r="40" spans="1:7" ht="14.25" customHeight="1">
      <c r="A40" s="105">
        <v>32</v>
      </c>
      <c r="B40" t="s">
        <v>54</v>
      </c>
      <c r="C40" s="116">
        <v>2951</v>
      </c>
      <c r="D40" s="118">
        <v>103</v>
      </c>
      <c r="E40" s="120">
        <v>3054</v>
      </c>
      <c r="F40" s="21">
        <f t="shared" si="0"/>
        <v>2.7965496401296631E-2</v>
      </c>
    </row>
    <row r="41" spans="1:7" ht="14.25" customHeight="1">
      <c r="A41" s="105">
        <v>33</v>
      </c>
      <c r="B41" t="s">
        <v>86</v>
      </c>
      <c r="C41" s="116">
        <v>12581</v>
      </c>
      <c r="D41" s="118">
        <v>268</v>
      </c>
      <c r="E41" s="120">
        <v>12849</v>
      </c>
      <c r="F41" s="21">
        <f t="shared" si="0"/>
        <v>0.11765837041920774</v>
      </c>
    </row>
    <row r="42" spans="1:7" ht="14.25" customHeight="1">
      <c r="A42" s="105">
        <v>34</v>
      </c>
      <c r="B42" t="s">
        <v>87</v>
      </c>
      <c r="C42" s="116">
        <v>5558</v>
      </c>
      <c r="D42" s="118">
        <v>506</v>
      </c>
      <c r="E42" s="120">
        <v>6064</v>
      </c>
      <c r="F42" s="21">
        <f t="shared" si="0"/>
        <v>5.5528084537479629E-2</v>
      </c>
    </row>
    <row r="43" spans="1:7" ht="14.25" customHeight="1">
      <c r="A43" s="105">
        <v>35</v>
      </c>
      <c r="B43" t="s">
        <v>88</v>
      </c>
      <c r="C43" s="116">
        <v>546</v>
      </c>
      <c r="D43" s="118">
        <v>99</v>
      </c>
      <c r="E43" s="120">
        <v>645</v>
      </c>
      <c r="F43" s="21">
        <f t="shared" si="0"/>
        <v>5.9062688863249276E-3</v>
      </c>
    </row>
    <row r="44" spans="1:7">
      <c r="A44" s="105">
        <v>36</v>
      </c>
      <c r="B44" t="s">
        <v>90</v>
      </c>
      <c r="C44" s="116">
        <v>33</v>
      </c>
      <c r="D44" s="118">
        <v>16</v>
      </c>
      <c r="E44" s="120">
        <v>49</v>
      </c>
      <c r="F44" s="21">
        <f t="shared" si="0"/>
        <v>4.4869329524018826E-4</v>
      </c>
    </row>
    <row r="45" spans="1:7">
      <c r="A45" s="105">
        <v>37</v>
      </c>
      <c r="B45" t="s">
        <v>89</v>
      </c>
      <c r="C45" s="116">
        <v>2897</v>
      </c>
      <c r="D45" s="118">
        <v>393</v>
      </c>
      <c r="E45" s="120">
        <v>3290</v>
      </c>
      <c r="F45" s="21">
        <f t="shared" si="0"/>
        <v>3.0126549823269785E-2</v>
      </c>
      <c r="G45" s="109"/>
    </row>
    <row r="46" spans="1:7">
      <c r="A46" s="105"/>
      <c r="B46" s="108" t="s">
        <v>58</v>
      </c>
      <c r="C46" s="112">
        <v>89189</v>
      </c>
      <c r="D46" s="113">
        <v>20017</v>
      </c>
      <c r="E46" s="114">
        <v>109206</v>
      </c>
      <c r="F46" s="21">
        <f>SUM(F9:F45)</f>
        <v>0.99999999999999989</v>
      </c>
    </row>
    <row r="47" spans="1:7">
      <c r="A47" s="106"/>
    </row>
    <row r="48" spans="1:7">
      <c r="A48" s="1" t="s">
        <v>22</v>
      </c>
      <c r="B48" s="103"/>
    </row>
    <row r="49" spans="1:10">
      <c r="A49" s="1" t="s">
        <v>21</v>
      </c>
      <c r="J49" s="104"/>
    </row>
    <row r="50" spans="1:10">
      <c r="A50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August 31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>
      <c r="A13" s="39" t="s">
        <v>43</v>
      </c>
      <c r="B13" s="42">
        <f>REC_programs_detail!B23</f>
        <v>3275</v>
      </c>
      <c r="C13" s="43">
        <f>IF(B13=0,0,B13/'Summary Load Customers '!$B$22)</f>
        <v>1.0882314826198633E-2</v>
      </c>
      <c r="D13" s="42">
        <f>REC_programs_detail!C23</f>
        <v>37</v>
      </c>
      <c r="E13" s="43">
        <f>IF(D13=0,0,D13/('Summary Load Customers '!$D$22+'Summary Load Customers '!$F$22))</f>
        <v>9.7386360645382048E-4</v>
      </c>
      <c r="F13" s="42">
        <f>B13+D13</f>
        <v>3312</v>
      </c>
      <c r="G13" s="43">
        <f>IF(F13=0,0,F13/'Summary Load Customers '!$H$22)</f>
        <v>9.771640998406798E-3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3,312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>
      <c r="A20" s="39" t="s">
        <v>44</v>
      </c>
      <c r="B20" s="42">
        <f>REC_programs_detail!B29</f>
        <v>608</v>
      </c>
      <c r="C20" s="43">
        <f>IF(B20=0,0,B20/'Summary Load Customers '!$B$22)</f>
        <v>2.0202892868179446E-3</v>
      </c>
      <c r="D20" s="42">
        <f>REC_programs_detail!C29</f>
        <v>58</v>
      </c>
      <c r="E20" s="43">
        <f>IF(D20=0,0,D20/('Summary Load Customers '!$D$22+'Summary Load Customers '!$F$22))</f>
        <v>1.5265970047113942E-3</v>
      </c>
      <c r="F20" s="42">
        <f>B20+D20</f>
        <v>666</v>
      </c>
      <c r="G20" s="43">
        <f>IF(F20=0,0,F20/'Summary Load Customers '!$H$22)</f>
        <v>1.9649495485926714E-3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0,666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>
      <c r="A27" s="39" t="s">
        <v>45</v>
      </c>
      <c r="B27" s="42">
        <f>B13+B20</f>
        <v>3883</v>
      </c>
      <c r="C27" s="43">
        <f>IF(B27=0,0,B27/'Summary Load Customers '!$B$22)</f>
        <v>1.2902604113016577E-2</v>
      </c>
      <c r="D27" s="42">
        <f>D13+D20</f>
        <v>95</v>
      </c>
      <c r="E27" s="43">
        <f>IF(D27=0,0,D27/('Summary Load Customers '!$D$22+'Summary Load Customers '!$F$22))</f>
        <v>2.5004606111652147E-3</v>
      </c>
      <c r="F27" s="42">
        <f>B27+D27</f>
        <v>3978</v>
      </c>
      <c r="G27" s="43">
        <f>IF(F27=0,0,F27/'Summary Load Customers '!$H$22)</f>
        <v>1.1736590546999468E-2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3,978 of UI's customers, or 1.2% are participating in the combined REC programs.</v>
      </c>
      <c r="G29" s="49"/>
      <c r="H29" s="27"/>
    </row>
    <row r="31" spans="1:9" ht="13.5">
      <c r="A31" s="66" t="s">
        <v>31</v>
      </c>
    </row>
    <row r="32" spans="1:9" ht="13.5">
      <c r="A32" s="66"/>
    </row>
    <row r="33" spans="1:1" ht="13.5">
      <c r="A33" s="66" t="s">
        <v>53</v>
      </c>
    </row>
    <row r="34" spans="1:1">
      <c r="A34" s="67" t="s">
        <v>51</v>
      </c>
    </row>
    <row r="36" spans="1:1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2"/>
  <sheetViews>
    <sheetView showZeros="0" topLeftCell="A16" zoomScale="110" zoomScaleNormal="110" workbookViewId="0">
      <selection activeCell="C16" sqref="C16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>
      <c r="A5" s="122" t="str">
        <f>'Summary Load Customers '!A6</f>
        <v>Data as of August 31 2019</v>
      </c>
      <c r="B5" s="122"/>
      <c r="C5" s="122"/>
      <c r="D5" s="122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14</v>
      </c>
      <c r="B9" s="84">
        <v>120</v>
      </c>
      <c r="C9" s="84">
        <v>2</v>
      </c>
      <c r="D9" s="85">
        <f>SUM(B9:C9)</f>
        <v>122</v>
      </c>
      <c r="E9" s="87"/>
      <c r="F9" s="87"/>
      <c r="G9" s="86"/>
      <c r="H9" s="75"/>
    </row>
    <row r="10" spans="1:9">
      <c r="A10" s="82" t="s">
        <v>15</v>
      </c>
      <c r="B10" s="84">
        <v>2688</v>
      </c>
      <c r="C10" s="84">
        <v>34</v>
      </c>
      <c r="D10" s="85">
        <f>SUM(B10:C10)</f>
        <v>2722</v>
      </c>
      <c r="E10" s="88"/>
      <c r="F10" s="89"/>
      <c r="G10" s="86"/>
      <c r="H10" s="75"/>
    </row>
    <row r="11" spans="1:9">
      <c r="A11" s="90" t="s">
        <v>6</v>
      </c>
      <c r="B11" s="91">
        <f>IF(B9+B10=0,0,B9+B10)</f>
        <v>2808</v>
      </c>
      <c r="C11" s="91">
        <f>IF(SUM(C8:C10)=0,0,SUM(C8:C10))</f>
        <v>36</v>
      </c>
      <c r="D11" s="91">
        <f>IF(SUM(D8:D10)=0,0,SUM(D8:D10))</f>
        <v>2844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15</v>
      </c>
      <c r="B16" s="84">
        <v>465</v>
      </c>
      <c r="C16" s="84">
        <v>1</v>
      </c>
      <c r="D16" s="85">
        <f>SUM(B16:C16)</f>
        <v>466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467</v>
      </c>
      <c r="C17" s="91">
        <f>IF(SUM(C14:C16)=0,0,SUM(C14:C16))</f>
        <v>1</v>
      </c>
      <c r="D17" s="91">
        <f>IF(SUM(D14:D16)=0,0,SUM(D14:D16))</f>
        <v>468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14</v>
      </c>
      <c r="B21" s="96">
        <f>IF(B9+B15=0,0,B9+B15)</f>
        <v>122</v>
      </c>
      <c r="C21" s="96">
        <f>IF(C9+C15=0,0,C9+C15)</f>
        <v>2</v>
      </c>
      <c r="D21" s="85">
        <f t="shared" si="0"/>
        <v>124</v>
      </c>
      <c r="E21" s="86"/>
      <c r="F21" s="93"/>
      <c r="G21" s="93"/>
      <c r="H21" s="75"/>
    </row>
    <row r="22" spans="1:8">
      <c r="A22" s="82" t="s">
        <v>15</v>
      </c>
      <c r="B22" s="96">
        <f>IF(B10+B16=0,0,B10+B16)</f>
        <v>3153</v>
      </c>
      <c r="C22" s="96">
        <f>IF(C10+C16=0,0,C10+C16)</f>
        <v>35</v>
      </c>
      <c r="D22" s="85">
        <f>IF(D10+D16=0,0,D10+D16)</f>
        <v>3188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3275</v>
      </c>
      <c r="C23" s="91">
        <f>IF(SUM(C20:C22)=0,0,SUM(C20:C22))</f>
        <v>37</v>
      </c>
      <c r="D23" s="91">
        <f>SUM(D20:D22)</f>
        <v>3312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37</v>
      </c>
      <c r="B25" s="76" t="s">
        <v>4</v>
      </c>
      <c r="C25" s="76" t="s">
        <v>5</v>
      </c>
      <c r="D25" s="76" t="s">
        <v>32</v>
      </c>
    </row>
    <row r="26" spans="1:8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14</v>
      </c>
      <c r="B27" s="84">
        <v>180</v>
      </c>
      <c r="C27" s="84">
        <v>11</v>
      </c>
      <c r="D27" s="85">
        <f>SUM(B27:C27)</f>
        <v>191</v>
      </c>
    </row>
    <row r="28" spans="1:8">
      <c r="A28" s="82" t="s">
        <v>15</v>
      </c>
      <c r="B28" s="84">
        <v>428</v>
      </c>
      <c r="C28" s="84">
        <v>47</v>
      </c>
      <c r="D28" s="85">
        <f>SUM(B28:C28)</f>
        <v>475</v>
      </c>
    </row>
    <row r="29" spans="1:8">
      <c r="A29" s="90" t="str">
        <f>A23</f>
        <v>Total</v>
      </c>
      <c r="B29" s="110">
        <f>IF(B27+B28=0,0,B27+B28)</f>
        <v>608</v>
      </c>
      <c r="C29" s="91">
        <f>IF(SUM(C26:C28)=0,0,SUM(C26:C28))</f>
        <v>58</v>
      </c>
      <c r="D29" s="91">
        <f>IF(SUM(D26:D28)=0,0,SUM(D26:D28))</f>
        <v>666</v>
      </c>
    </row>
    <row r="31" spans="1:8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14</v>
      </c>
      <c r="B33" s="96">
        <f>B21+B27</f>
        <v>302</v>
      </c>
      <c r="C33" s="96">
        <f t="shared" si="1"/>
        <v>13</v>
      </c>
      <c r="D33" s="85">
        <f t="shared" si="1"/>
        <v>315</v>
      </c>
      <c r="E33" s="75"/>
      <c r="F33" s="75"/>
      <c r="G33" s="75"/>
    </row>
    <row r="34" spans="1:7">
      <c r="A34" s="82" t="s">
        <v>15</v>
      </c>
      <c r="B34" s="96">
        <f>B22+B28</f>
        <v>3581</v>
      </c>
      <c r="C34" s="96">
        <f t="shared" si="1"/>
        <v>82</v>
      </c>
      <c r="D34" s="85">
        <f t="shared" si="1"/>
        <v>3663</v>
      </c>
    </row>
    <row r="35" spans="1:7">
      <c r="A35" s="90" t="str">
        <f>A29</f>
        <v>Total</v>
      </c>
      <c r="B35" s="91">
        <f>IF(B33+B34=0,0,B33+B34)</f>
        <v>3883</v>
      </c>
      <c r="C35" s="91">
        <f>IF(SUM(C32:C34)=0,0,SUM(C32:C34))</f>
        <v>95</v>
      </c>
      <c r="D35" s="91">
        <f>SUM(D32:D34)</f>
        <v>3978</v>
      </c>
    </row>
    <row r="37" spans="1:7">
      <c r="A37" s="97" t="str">
        <f>"In summary, "&amp;TEXT($D$23,"0,000")&amp; " of UI's customers are participating in the CTCleanEnergyOptions Program"</f>
        <v>In summary, 3,312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666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3,978 of UI's customers are participating in all REC programs</v>
      </c>
    </row>
    <row r="41" spans="1:7">
      <c r="A41" s="98" t="s">
        <v>20</v>
      </c>
    </row>
    <row r="42" spans="1:7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2019-09-10T13:52:54Z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997013754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