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19-10\"/>
    </mc:Choice>
  </mc:AlternateContent>
  <xr:revisionPtr revIDLastSave="0" documentId="10_ncr:100000_{D50A09C1-F415-40D5-A6D8-716F37449D1F}" xr6:coauthVersionLast="31" xr6:coauthVersionMax="31" xr10:uidLastSave="{00000000-0000-0000-0000-000000000000}"/>
  <bookViews>
    <workbookView xWindow="0" yWindow="0" windowWidth="28800" windowHeight="1222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 l="1"/>
  <c r="D12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D26" i="5"/>
  <c r="D29" i="5" s="1"/>
  <c r="A38" i="5" s="1"/>
  <c r="C32" i="5"/>
  <c r="C20" i="7"/>
  <c r="C21" i="7"/>
  <c r="D22" i="5"/>
  <c r="D34" i="5" s="1"/>
  <c r="D21" i="5"/>
  <c r="D33" i="5" s="1"/>
  <c r="F20" i="8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1" i="7" l="1"/>
  <c r="D11" i="7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<sst xmlns="http://schemas.openxmlformats.org/spreadsheetml/2006/main" count="159" uniqueCount="93">
  <si>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</si>
  <si>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</si>
  <si>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</si>
  <si>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</si>
  <si>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</si>
  <si>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</si>
  <si>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</si>
  <si>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</si>
  <si>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</si>
  <si>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</si>
  <si>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</si>
  <si>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</si>
  <si>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</si>
  <si>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</si>
  <si>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</si>
  <si>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</si>
  <si>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</si>
  <si>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</si>
  <si>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</si>
  <si>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</si>
  <si>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</si>
  <si>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</si>
  <si>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</si>
  <si>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</si>
  <si>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</si>
  <si>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</si>
  <si>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</si>
  <si>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</si>
  <si>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</si>
  <si>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</si>
  <si>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</si>
  <si>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</si>
  <si>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</si>
  <si>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</si>
  <si>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</si>
  <si>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</si>
  <si>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</si>
  <si>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</si>
  <si>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</si>
  <si>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</si>
  <si>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</si>
  <si>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</si>
  <si>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</si>
  <si>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</si>
  <si>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</si>
  <si>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</si>
  <si>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</si>
  <si>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</si>
  <si>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</si>
  <si>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</si>
  <si>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</si>
  <si>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</si>
  <si>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</si>
  <si>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</si>
  <si>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</si>
  <si>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</si>
  <si>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</si>
  <si>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</si>
  <si>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</si>
  <si>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</si>
  <si>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</si>
  <si>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</si>
  <si>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</si>
  <si>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</si>
  <si>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</si>
  <si>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</si>
  <si>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</si>
  <si>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</si>
  <si>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</si>
  <si>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</si>
  <si>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</si>
  <si>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</si>
  <si>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</si>
  <si>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</si>
  <si>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</si>
  <si>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</si>
  <si>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</si>
  <si>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</si>
  <si>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</si>
  <si>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</si>
  <si>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</si>
  <si>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</si>
  <si>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</si>
  <si>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</si>
  <si>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</si>
  <si>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</si>
  <si>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</si>
  <si>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</si>
  <si>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</si>
  <si>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</si>
  <si>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</si>
  <si>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</si>
  <si>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October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</si>
</sst>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10_Octo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1910_October_2019_customer_count_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19/201910_October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40322.707999999999</v>
          </cell>
        </row>
        <row r="25">
          <cell r="H25">
            <v>108800.40899999996</v>
          </cell>
        </row>
        <row r="26">
          <cell r="H26">
            <v>89938.842000000004</v>
          </cell>
        </row>
        <row r="29">
          <cell r="H29">
            <v>90583.805999999982</v>
          </cell>
        </row>
        <row r="30">
          <cell r="H30">
            <v>48635.131999999991</v>
          </cell>
        </row>
        <row r="31">
          <cell r="H31">
            <v>4889.0600000000013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88033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9">
          <cell r="B19">
            <v>19687</v>
          </cell>
        </row>
        <row r="20">
          <cell r="B20">
            <v>207</v>
          </cell>
        </row>
        <row r="22">
          <cell r="B22">
            <v>214600</v>
          </cell>
        </row>
        <row r="23">
          <cell r="B23">
            <v>18049</v>
          </cell>
        </row>
        <row r="24">
          <cell r="B24">
            <v>20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topLeftCell="A7" zoomScaleNormal="100" workbookViewId="0">
      <selection activeCell="F12" sqref="F12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40322.707999999999</v>
      </c>
      <c r="C11" s="40">
        <f>IF(B11=0,0,B11/$B$13)</f>
        <v>0.30802674953211268</v>
      </c>
      <c r="D11" s="68">
        <f>[1]Check!$H$25</f>
        <v>108800.40899999996</v>
      </c>
      <c r="E11" s="40">
        <f>IF(D11=0,0,D11/$D$13)</f>
        <v>0.69107908105705307</v>
      </c>
      <c r="F11" s="68">
        <f>[1]Check!$H$26</f>
        <v>89938.842000000004</v>
      </c>
      <c r="G11" s="40">
        <f>IF(F11=0,0,F11/$F$13)</f>
        <v>0.94844281169481115</v>
      </c>
      <c r="H11" s="41">
        <f>IF(B11+D11+F11=0,0,B11+D11+F11)</f>
        <v>239061.95899999997</v>
      </c>
      <c r="I11" s="40">
        <f>IF(H11=0,0,H11/$H$13)</f>
        <v>0.62390580115340311</v>
      </c>
    </row>
    <row r="12" spans="1:15" ht="18" customHeight="1" x14ac:dyDescent="0.2">
      <c r="A12" s="39" t="s">
        <v>11</v>
      </c>
      <c r="B12" s="69">
        <f>[1]Check!$H$29</f>
        <v>90583.805999999982</v>
      </c>
      <c r="C12" s="40">
        <f>IF(B12=0,0,B12/$B$13)</f>
        <v>0.69197325046788727</v>
      </c>
      <c r="D12" s="69">
        <f>[1]Check!$H$30</f>
        <v>48635.131999999991</v>
      </c>
      <c r="E12" s="40">
        <f>IF(D12=0,0,D12/$D$13)</f>
        <v>0.30892091894294699</v>
      </c>
      <c r="F12" s="69">
        <f>[1]Check!$H$31</f>
        <v>4889.0600000000013</v>
      </c>
      <c r="G12" s="40">
        <f>IF(F12=0,0,F12/$F$13)</f>
        <v>5.155718830518892E-2</v>
      </c>
      <c r="H12" s="102">
        <f>IF(B12+D12+F12=0,0,B12+D12+F12)</f>
        <v>144107.99799999996</v>
      </c>
      <c r="I12" s="40">
        <f>IF(H12=0,0,H12/$H$13)</f>
        <v>0.37609419884659689</v>
      </c>
    </row>
    <row r="13" spans="1:15" ht="18" customHeight="1" x14ac:dyDescent="0.2">
      <c r="A13" s="107" t="s">
        <v>6</v>
      </c>
      <c r="B13" s="42">
        <f>SUM(B11:B12)</f>
        <v>130906.51399999998</v>
      </c>
      <c r="C13" s="43"/>
      <c r="D13" s="42">
        <f>SUM(D11:D12)</f>
        <v>157435.54099999994</v>
      </c>
      <c r="E13" s="43"/>
      <c r="F13" s="42">
        <f>SUM(F11:F12)</f>
        <v>94827.902000000002</v>
      </c>
      <c r="G13" s="43"/>
      <c r="H13" s="42">
        <f>IF(H11+H12=0,0,H11+H12)</f>
        <v>383169.95699999994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239,062 MWh, or 62.4%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144,108 MHh, or 37.6%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88033</v>
      </c>
      <c r="C20" s="40">
        <f>IF(B20=0,0,B20/$B$22)</f>
        <v>0.29089028625430802</v>
      </c>
      <c r="D20" s="68">
        <f>[3]Summary!$B$19</f>
        <v>19687</v>
      </c>
      <c r="E20" s="53">
        <f>IF(D20=0,0,D20/$D$22)</f>
        <v>0.52170341318634728</v>
      </c>
      <c r="F20" s="68">
        <f>[3]Summary!$B$20</f>
        <v>207</v>
      </c>
      <c r="G20" s="40">
        <f>IF(F20=0,0,F20/$F$22)</f>
        <v>0.91189427312775329</v>
      </c>
      <c r="H20" s="41">
        <f>IF(B20+D20+F20=0,0,B20+D20+F20)</f>
        <v>107927</v>
      </c>
      <c r="I20" s="40">
        <f>IF(H20=0,0,H20/$H$22)</f>
        <v>0.31687688639913564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[3]Summary!$B$22</f>
        <v>214600</v>
      </c>
      <c r="C21" s="40">
        <f>IF(B21=0,0,B21/$B$22)</f>
        <v>0.70910971374569198</v>
      </c>
      <c r="D21" s="69">
        <f>[3]Summary!$B$23</f>
        <v>18049</v>
      </c>
      <c r="E21" s="53">
        <f>IF(D21=0,0,D21/$D$22)</f>
        <v>0.47829658681365272</v>
      </c>
      <c r="F21" s="69">
        <f>[3]Summary!$B$24</f>
        <v>20</v>
      </c>
      <c r="G21" s="40">
        <f>IF(F21=0,0,F21/$F$22)</f>
        <v>8.8105726872246701E-2</v>
      </c>
      <c r="H21" s="69">
        <f>IF(B21+D21+F21=0,0,B21+D21+F21)</f>
        <v>232669</v>
      </c>
      <c r="I21" s="40">
        <f>IF(H21=0,0,H21/$H$22)</f>
        <v>0.68312311360086442</v>
      </c>
    </row>
    <row r="22" spans="1:17" ht="18" customHeight="1" x14ac:dyDescent="0.2">
      <c r="A22" s="39" t="str">
        <f>A13</f>
        <v>Total</v>
      </c>
      <c r="B22" s="42">
        <f>SUM(B20:B21)</f>
        <v>302633</v>
      </c>
      <c r="C22" s="55"/>
      <c r="D22" s="42">
        <f>SUM(D20:D21)</f>
        <v>37736</v>
      </c>
      <c r="E22" s="43"/>
      <c r="F22" s="42">
        <f>SUM(F20:F21)</f>
        <v>227</v>
      </c>
      <c r="G22" s="43"/>
      <c r="H22" s="42">
        <f>IF(H20+H21=0,0,H20+H21)</f>
        <v>340596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107,927 of UI's total customers, or 31.7%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232,669 or 68.3%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showZeros="0" topLeftCell="A19" zoomScaleNormal="100" workbookViewId="0">
      <selection activeCell="C9" sqref="C9:E46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91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October 31,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59</v>
      </c>
      <c r="C9" s="115">
        <v>144</v>
      </c>
      <c r="D9" s="117">
        <v>166</v>
      </c>
      <c r="E9" s="119">
        <v>310</v>
      </c>
      <c r="F9" s="21">
        <f t="shared" ref="F9:F45" si="0">IF(E9=0,"",E9/$E$46)</f>
        <v>2.8702374890051388E-3</v>
      </c>
    </row>
    <row r="10" spans="1:11" ht="14.25" customHeight="1" x14ac:dyDescent="0.2">
      <c r="A10" s="105">
        <v>2</v>
      </c>
      <c r="B10" t="s">
        <v>56</v>
      </c>
      <c r="C10" s="116">
        <v>542</v>
      </c>
      <c r="D10" s="118">
        <v>1109</v>
      </c>
      <c r="E10" s="120">
        <v>1651</v>
      </c>
      <c r="F10" s="21">
        <f t="shared" si="0"/>
        <v>1.5286329336604787E-2</v>
      </c>
    </row>
    <row r="11" spans="1:11" ht="14.25" customHeight="1" x14ac:dyDescent="0.2">
      <c r="A11" s="105">
        <v>3</v>
      </c>
      <c r="B11" t="s">
        <v>50</v>
      </c>
      <c r="C11" s="116">
        <v>8496</v>
      </c>
      <c r="D11" s="118">
        <v>784</v>
      </c>
      <c r="E11" s="120">
        <v>9280</v>
      </c>
      <c r="F11" s="21">
        <f t="shared" si="0"/>
        <v>8.5921948057960273E-2</v>
      </c>
    </row>
    <row r="12" spans="1:11" ht="14.25" customHeight="1" x14ac:dyDescent="0.2">
      <c r="A12" s="105">
        <v>4</v>
      </c>
      <c r="B12" t="s">
        <v>60</v>
      </c>
      <c r="C12" s="116">
        <v>17</v>
      </c>
      <c r="D12" s="118">
        <v>3013</v>
      </c>
      <c r="E12" s="120">
        <v>3030</v>
      </c>
      <c r="F12" s="21">
        <f t="shared" si="0"/>
        <v>2.8054256747372806E-2</v>
      </c>
    </row>
    <row r="13" spans="1:11" ht="14.25" customHeight="1" x14ac:dyDescent="0.2">
      <c r="A13" s="105">
        <v>5</v>
      </c>
      <c r="B13" t="s">
        <v>61</v>
      </c>
      <c r="C13" s="116">
        <v>16</v>
      </c>
      <c r="D13" s="118">
        <v>177</v>
      </c>
      <c r="E13" s="120">
        <v>193</v>
      </c>
      <c r="F13" s="21">
        <f t="shared" si="0"/>
        <v>1.7869543076709411E-3</v>
      </c>
    </row>
    <row r="14" spans="1:11" ht="14.25" customHeight="1" x14ac:dyDescent="0.2">
      <c r="A14" s="105">
        <v>6</v>
      </c>
      <c r="B14" t="s">
        <v>62</v>
      </c>
      <c r="C14" s="116">
        <v>496</v>
      </c>
      <c r="D14" s="118">
        <v>13</v>
      </c>
      <c r="E14" s="120">
        <v>509</v>
      </c>
      <c r="F14" s="21">
        <f t="shared" si="0"/>
        <v>4.7127447803342439E-3</v>
      </c>
    </row>
    <row r="15" spans="1:11" ht="14.25" customHeight="1" x14ac:dyDescent="0.2">
      <c r="A15" s="105">
        <v>7</v>
      </c>
      <c r="B15" t="s">
        <v>63</v>
      </c>
      <c r="C15" s="116">
        <v>6435</v>
      </c>
      <c r="D15" s="118">
        <v>238</v>
      </c>
      <c r="E15" s="120">
        <v>6673</v>
      </c>
      <c r="F15" s="21">
        <f t="shared" si="0"/>
        <v>6.1784176658488031E-2</v>
      </c>
    </row>
    <row r="16" spans="1:11" ht="14.25" customHeight="1" x14ac:dyDescent="0.2">
      <c r="A16" s="105">
        <v>8</v>
      </c>
      <c r="B16" t="s">
        <v>64</v>
      </c>
      <c r="C16" s="116">
        <v>507</v>
      </c>
      <c r="D16" s="118">
        <v>92</v>
      </c>
      <c r="E16" s="120">
        <v>599</v>
      </c>
      <c r="F16" s="21">
        <f t="shared" si="0"/>
        <v>5.5460395352067036E-3</v>
      </c>
    </row>
    <row r="17" spans="1:6" ht="14.25" customHeight="1" x14ac:dyDescent="0.2">
      <c r="A17" s="105">
        <v>9</v>
      </c>
      <c r="B17" t="s">
        <v>65</v>
      </c>
      <c r="C17" s="116">
        <v>909</v>
      </c>
      <c r="D17" s="118">
        <v>4493</v>
      </c>
      <c r="E17" s="120">
        <v>5402</v>
      </c>
      <c r="F17" s="21">
        <f t="shared" si="0"/>
        <v>5.0016202953566964E-2</v>
      </c>
    </row>
    <row r="18" spans="1:6" ht="14.25" customHeight="1" x14ac:dyDescent="0.2">
      <c r="A18" s="105">
        <v>10</v>
      </c>
      <c r="B18" t="s">
        <v>66</v>
      </c>
      <c r="C18" s="116">
        <v>7681</v>
      </c>
      <c r="D18" s="118">
        <v>823</v>
      </c>
      <c r="E18" s="120">
        <v>8504</v>
      </c>
      <c r="F18" s="21">
        <f t="shared" si="0"/>
        <v>7.8737095504837734E-2</v>
      </c>
    </row>
    <row r="19" spans="1:6" ht="14.25" customHeight="1" x14ac:dyDescent="0.2">
      <c r="A19" s="105">
        <v>11</v>
      </c>
      <c r="B19" t="s">
        <v>57</v>
      </c>
      <c r="C19" s="116">
        <v>211</v>
      </c>
      <c r="D19" s="118">
        <v>1452</v>
      </c>
      <c r="E19" s="120">
        <v>1663</v>
      </c>
      <c r="F19" s="21">
        <f t="shared" si="0"/>
        <v>1.5397435303921115E-2</v>
      </c>
    </row>
    <row r="20" spans="1:6" ht="14.25" customHeight="1" x14ac:dyDescent="0.2">
      <c r="A20" s="105">
        <v>12</v>
      </c>
      <c r="B20" t="s">
        <v>67</v>
      </c>
      <c r="C20" s="116">
        <v>6970</v>
      </c>
      <c r="D20" s="118">
        <v>1715</v>
      </c>
      <c r="E20" s="120">
        <v>8685</v>
      </c>
      <c r="F20" s="21">
        <f t="shared" si="0"/>
        <v>8.0412943845192347E-2</v>
      </c>
    </row>
    <row r="21" spans="1:6" ht="14.25" customHeight="1" x14ac:dyDescent="0.2">
      <c r="A21" s="105">
        <v>13</v>
      </c>
      <c r="B21" t="s">
        <v>68</v>
      </c>
      <c r="C21" s="116">
        <v>3805</v>
      </c>
      <c r="D21" s="118">
        <v>266</v>
      </c>
      <c r="E21" s="120">
        <v>4071</v>
      </c>
      <c r="F21" s="21">
        <f t="shared" si="0"/>
        <v>3.7692699412064254E-2</v>
      </c>
    </row>
    <row r="22" spans="1:6" ht="14.25" customHeight="1" x14ac:dyDescent="0.2">
      <c r="A22" s="105">
        <v>14</v>
      </c>
      <c r="B22" t="s">
        <v>69</v>
      </c>
      <c r="C22" s="116"/>
      <c r="D22" s="118">
        <v>65</v>
      </c>
      <c r="E22" s="120">
        <v>65</v>
      </c>
      <c r="F22" s="21">
        <f t="shared" si="0"/>
        <v>6.0182398963010977E-4</v>
      </c>
    </row>
    <row r="23" spans="1:6" ht="14.25" customHeight="1" x14ac:dyDescent="0.2">
      <c r="A23" s="105">
        <v>15</v>
      </c>
      <c r="B23" t="s">
        <v>70</v>
      </c>
      <c r="C23" s="116">
        <v>4</v>
      </c>
      <c r="D23" s="118">
        <v>4</v>
      </c>
      <c r="E23" s="120">
        <v>8</v>
      </c>
      <c r="F23" s="21">
        <f t="shared" si="0"/>
        <v>7.4070644877551967E-5</v>
      </c>
    </row>
    <row r="24" spans="1:6" ht="14.25" customHeight="1" x14ac:dyDescent="0.2">
      <c r="A24" s="105">
        <v>16</v>
      </c>
      <c r="B24" t="s">
        <v>71</v>
      </c>
      <c r="C24" s="116">
        <v>440</v>
      </c>
      <c r="D24" s="118">
        <v>91</v>
      </c>
      <c r="E24" s="120">
        <v>531</v>
      </c>
      <c r="F24" s="21">
        <f t="shared" si="0"/>
        <v>4.9164390537475115E-3</v>
      </c>
    </row>
    <row r="25" spans="1:6" ht="14.25" customHeight="1" x14ac:dyDescent="0.2">
      <c r="A25" s="105">
        <v>17</v>
      </c>
      <c r="B25" t="s">
        <v>72</v>
      </c>
      <c r="C25" s="116">
        <v>49</v>
      </c>
      <c r="D25" s="118">
        <v>1</v>
      </c>
      <c r="E25" s="120">
        <v>50</v>
      </c>
      <c r="F25" s="21">
        <f t="shared" si="0"/>
        <v>4.6294153048469976E-4</v>
      </c>
    </row>
    <row r="26" spans="1:6" ht="14.25" customHeight="1" x14ac:dyDescent="0.2">
      <c r="A26" s="105">
        <v>18</v>
      </c>
      <c r="B26" t="s">
        <v>73</v>
      </c>
      <c r="C26" s="116">
        <v>314</v>
      </c>
      <c r="D26" s="118">
        <v>1140</v>
      </c>
      <c r="E26" s="120">
        <v>1454</v>
      </c>
      <c r="F26" s="21">
        <f t="shared" si="0"/>
        <v>1.3462339706495069E-2</v>
      </c>
    </row>
    <row r="27" spans="1:6" ht="14.25" customHeight="1" x14ac:dyDescent="0.2">
      <c r="A27" s="105">
        <v>19</v>
      </c>
      <c r="B27" t="s">
        <v>74</v>
      </c>
      <c r="C27" s="116">
        <v>301</v>
      </c>
      <c r="D27" s="118">
        <v>92</v>
      </c>
      <c r="E27" s="120">
        <v>393</v>
      </c>
      <c r="F27" s="21">
        <f t="shared" si="0"/>
        <v>3.6387204296097404E-3</v>
      </c>
    </row>
    <row r="28" spans="1:6" ht="14.25" customHeight="1" x14ac:dyDescent="0.2">
      <c r="A28" s="105">
        <v>20</v>
      </c>
      <c r="B28" t="s">
        <v>12</v>
      </c>
      <c r="C28" s="116">
        <v>6661</v>
      </c>
      <c r="D28" s="118">
        <v>569</v>
      </c>
      <c r="E28" s="120">
        <v>7230</v>
      </c>
      <c r="F28" s="21">
        <f t="shared" si="0"/>
        <v>6.6941345308087583E-2</v>
      </c>
    </row>
    <row r="29" spans="1:6" ht="14.25" customHeight="1" x14ac:dyDescent="0.2">
      <c r="A29" s="105">
        <v>21</v>
      </c>
      <c r="B29" t="s">
        <v>75</v>
      </c>
      <c r="C29" s="116">
        <v>936</v>
      </c>
      <c r="D29" s="118">
        <v>24</v>
      </c>
      <c r="E29" s="120">
        <v>960</v>
      </c>
      <c r="F29" s="21">
        <f t="shared" si="0"/>
        <v>8.8884773853062354E-3</v>
      </c>
    </row>
    <row r="30" spans="1:6" ht="14.25" customHeight="1" x14ac:dyDescent="0.2">
      <c r="A30" s="105">
        <v>22</v>
      </c>
      <c r="B30" t="s">
        <v>76</v>
      </c>
      <c r="C30" s="116">
        <v>165</v>
      </c>
      <c r="D30" s="118">
        <v>96</v>
      </c>
      <c r="E30" s="120">
        <v>261</v>
      </c>
      <c r="F30" s="21">
        <f t="shared" si="0"/>
        <v>2.4165547891301328E-3</v>
      </c>
    </row>
    <row r="31" spans="1:6" ht="14.25" customHeight="1" x14ac:dyDescent="0.2">
      <c r="A31" s="105">
        <v>23</v>
      </c>
      <c r="B31" t="s">
        <v>77</v>
      </c>
      <c r="C31" s="116">
        <v>8</v>
      </c>
      <c r="D31" s="118">
        <v>1</v>
      </c>
      <c r="E31" s="120">
        <v>9</v>
      </c>
      <c r="F31" s="21">
        <f t="shared" si="0"/>
        <v>8.3329475487245959E-5</v>
      </c>
    </row>
    <row r="32" spans="1:6" ht="14.25" customHeight="1" x14ac:dyDescent="0.2">
      <c r="A32" s="105">
        <v>24</v>
      </c>
      <c r="B32" t="s">
        <v>78</v>
      </c>
      <c r="C32" s="116">
        <v>213</v>
      </c>
      <c r="D32" s="118">
        <v>328</v>
      </c>
      <c r="E32" s="120">
        <v>541</v>
      </c>
      <c r="F32" s="21">
        <f t="shared" si="0"/>
        <v>5.0090273598444521E-3</v>
      </c>
    </row>
    <row r="33" spans="1:7" ht="14.25" customHeight="1" x14ac:dyDescent="0.2">
      <c r="A33" s="105">
        <v>25</v>
      </c>
      <c r="B33" t="s">
        <v>79</v>
      </c>
      <c r="C33" s="116">
        <v>7888</v>
      </c>
      <c r="D33" s="118">
        <v>214</v>
      </c>
      <c r="E33" s="120">
        <v>8102</v>
      </c>
      <c r="F33" s="21">
        <f t="shared" si="0"/>
        <v>7.5015045599740759E-2</v>
      </c>
    </row>
    <row r="34" spans="1:7" ht="14.25" customHeight="1" x14ac:dyDescent="0.2">
      <c r="A34" s="105">
        <v>26</v>
      </c>
      <c r="B34" t="s">
        <v>80</v>
      </c>
      <c r="C34" s="116">
        <v>924</v>
      </c>
      <c r="D34" s="118">
        <v>224</v>
      </c>
      <c r="E34" s="120">
        <v>1148</v>
      </c>
      <c r="F34" s="21">
        <f t="shared" si="0"/>
        <v>1.0629137539928706E-2</v>
      </c>
    </row>
    <row r="35" spans="1:7" ht="14.25" customHeight="1" x14ac:dyDescent="0.2">
      <c r="A35" s="105">
        <v>27</v>
      </c>
      <c r="B35" t="s">
        <v>81</v>
      </c>
      <c r="C35" s="116">
        <v>4523</v>
      </c>
      <c r="D35" s="118">
        <v>913</v>
      </c>
      <c r="E35" s="120">
        <v>5436</v>
      </c>
      <c r="F35" s="21">
        <f t="shared" si="0"/>
        <v>5.0331003194296557E-2</v>
      </c>
    </row>
    <row r="36" spans="1:7" ht="14.25" customHeight="1" x14ac:dyDescent="0.2">
      <c r="A36" s="105">
        <v>28</v>
      </c>
      <c r="B36" t="s">
        <v>82</v>
      </c>
      <c r="C36" s="116">
        <v>431</v>
      </c>
      <c r="D36" s="118">
        <v>111</v>
      </c>
      <c r="E36" s="120">
        <v>542</v>
      </c>
      <c r="F36" s="21">
        <f t="shared" si="0"/>
        <v>5.0182861904541458E-3</v>
      </c>
    </row>
    <row r="37" spans="1:7" ht="14.25" customHeight="1" x14ac:dyDescent="0.2">
      <c r="A37" s="105">
        <v>29</v>
      </c>
      <c r="B37" t="s">
        <v>83</v>
      </c>
      <c r="C37" s="116">
        <v>3082</v>
      </c>
      <c r="D37" s="118">
        <v>187</v>
      </c>
      <c r="E37" s="120">
        <v>3269</v>
      </c>
      <c r="F37" s="21">
        <f t="shared" si="0"/>
        <v>3.0267117263089671E-2</v>
      </c>
    </row>
    <row r="38" spans="1:7" ht="14.25" customHeight="1" x14ac:dyDescent="0.2">
      <c r="A38" s="105">
        <v>30</v>
      </c>
      <c r="B38" t="s">
        <v>84</v>
      </c>
      <c r="C38" s="116">
        <v>1375</v>
      </c>
      <c r="D38" s="118">
        <v>179</v>
      </c>
      <c r="E38" s="120">
        <v>1554</v>
      </c>
      <c r="F38" s="21">
        <f t="shared" si="0"/>
        <v>1.438822276746447E-2</v>
      </c>
    </row>
    <row r="39" spans="1:7" ht="14.25" customHeight="1" x14ac:dyDescent="0.2">
      <c r="A39" s="105">
        <v>31</v>
      </c>
      <c r="B39" t="s">
        <v>85</v>
      </c>
      <c r="C39" s="116"/>
      <c r="D39" s="118">
        <v>13</v>
      </c>
      <c r="E39" s="120">
        <v>13</v>
      </c>
      <c r="F39" s="21">
        <f t="shared" si="0"/>
        <v>1.2036479792602194E-4</v>
      </c>
    </row>
    <row r="40" spans="1:7" ht="14.25" customHeight="1" x14ac:dyDescent="0.2">
      <c r="A40" s="105">
        <v>32</v>
      </c>
      <c r="B40" t="s">
        <v>54</v>
      </c>
      <c r="C40" s="116">
        <v>2832</v>
      </c>
      <c r="D40" s="118">
        <v>103</v>
      </c>
      <c r="E40" s="120">
        <v>2935</v>
      </c>
      <c r="F40" s="21">
        <f t="shared" si="0"/>
        <v>2.7174667839451876E-2</v>
      </c>
    </row>
    <row r="41" spans="1:7" ht="14.25" customHeight="1" x14ac:dyDescent="0.2">
      <c r="A41" s="105">
        <v>33</v>
      </c>
      <c r="B41" t="s">
        <v>86</v>
      </c>
      <c r="C41" s="116">
        <v>12641</v>
      </c>
      <c r="D41" s="118">
        <v>265</v>
      </c>
      <c r="E41" s="120">
        <v>12906</v>
      </c>
      <c r="F41" s="21">
        <f t="shared" si="0"/>
        <v>0.11949446784871071</v>
      </c>
    </row>
    <row r="42" spans="1:7" ht="14.25" customHeight="1" x14ac:dyDescent="0.2">
      <c r="A42" s="105">
        <v>34</v>
      </c>
      <c r="B42" t="s">
        <v>87</v>
      </c>
      <c r="C42" s="116">
        <v>5450</v>
      </c>
      <c r="D42" s="118">
        <v>504</v>
      </c>
      <c r="E42" s="120">
        <v>5954</v>
      </c>
      <c r="F42" s="21">
        <f t="shared" si="0"/>
        <v>5.512707745011805E-2</v>
      </c>
    </row>
    <row r="43" spans="1:7" ht="14.25" customHeight="1" x14ac:dyDescent="0.2">
      <c r="A43" s="105">
        <v>35</v>
      </c>
      <c r="B43" t="s">
        <v>88</v>
      </c>
      <c r="C43" s="116">
        <v>539</v>
      </c>
      <c r="D43" s="118">
        <v>97</v>
      </c>
      <c r="E43" s="120">
        <v>636</v>
      </c>
      <c r="F43" s="21">
        <f t="shared" si="0"/>
        <v>5.8886162677653812E-3</v>
      </c>
    </row>
    <row r="44" spans="1:7" x14ac:dyDescent="0.2">
      <c r="A44" s="105">
        <v>36</v>
      </c>
      <c r="B44" t="s">
        <v>90</v>
      </c>
      <c r="C44" s="116">
        <v>32</v>
      </c>
      <c r="D44" s="118">
        <v>16</v>
      </c>
      <c r="E44" s="120">
        <v>48</v>
      </c>
      <c r="F44" s="21">
        <f t="shared" si="0"/>
        <v>4.444238692653118E-4</v>
      </c>
    </row>
    <row r="45" spans="1:7" x14ac:dyDescent="0.2">
      <c r="A45" s="105">
        <v>37</v>
      </c>
      <c r="B45" t="s">
        <v>89</v>
      </c>
      <c r="C45" s="116">
        <v>2996</v>
      </c>
      <c r="D45" s="118">
        <v>394</v>
      </c>
      <c r="E45" s="120">
        <v>3390</v>
      </c>
      <c r="F45" s="21">
        <f t="shared" si="0"/>
        <v>3.1387435766862648E-2</v>
      </c>
      <c r="G45" s="109"/>
    </row>
    <row r="46" spans="1:7" x14ac:dyDescent="0.2">
      <c r="A46" s="105"/>
      <c r="B46" s="108" t="s">
        <v>58</v>
      </c>
      <c r="C46" s="112">
        <v>88033</v>
      </c>
      <c r="D46" s="113">
        <v>19972</v>
      </c>
      <c r="E46" s="114">
        <v>108005</v>
      </c>
      <c r="F46" s="21">
        <f>SUM(F9:F45)</f>
        <v>0.99999999999999978</v>
      </c>
    </row>
    <row r="47" spans="1:7" x14ac:dyDescent="0.2">
      <c r="A47" s="106"/>
    </row>
    <row r="48" spans="1:7" x14ac:dyDescent="0.2">
      <c r="A48" s="1" t="s">
        <v>22</v>
      </c>
      <c r="B48" s="103"/>
    </row>
    <row r="49" spans="1:10" x14ac:dyDescent="0.2">
      <c r="A49" s="1" t="s">
        <v>21</v>
      </c>
      <c r="J49" s="104"/>
    </row>
    <row r="50" spans="1:10" x14ac:dyDescent="0.2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October 31,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3240</v>
      </c>
      <c r="C13" s="43">
        <f>IF(B13=0,0,B13/'Summary Load Customers '!$B$22)</f>
        <v>1.0706036684697306E-2</v>
      </c>
      <c r="D13" s="42">
        <f>REC_programs_detail!C23</f>
        <v>35</v>
      </c>
      <c r="E13" s="43">
        <f>IF(D13=0,0,D13/('Summary Load Customers '!$D$22+'Summary Load Customers '!$F$22))</f>
        <v>9.2195032004846824E-4</v>
      </c>
      <c r="F13" s="42">
        <f>B13+D13</f>
        <v>3275</v>
      </c>
      <c r="G13" s="43">
        <f>IF(F13=0,0,F13/'Summary Load Customers '!$H$22)</f>
        <v>9.615497539607042E-3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3,275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603</v>
      </c>
      <c r="C20" s="43">
        <f>IF(B20=0,0,B20/'Summary Load Customers '!$B$22)</f>
        <v>1.9925123829853319E-3</v>
      </c>
      <c r="D20" s="42">
        <f>REC_programs_detail!C29</f>
        <v>58</v>
      </c>
      <c r="E20" s="43">
        <f>IF(D20=0,0,D20/('Summary Load Customers '!$D$22+'Summary Load Customers '!$F$22))</f>
        <v>1.5278033875088903E-3</v>
      </c>
      <c r="F20" s="42">
        <f>B20+D20</f>
        <v>661</v>
      </c>
      <c r="G20" s="43">
        <f>IF(F20=0,0,F20/'Summary Load Customers '!$H$22)</f>
        <v>1.9407156866199252E-3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0,661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3843</v>
      </c>
      <c r="C27" s="43">
        <f>IF(B27=0,0,B27/'Summary Load Customers '!$B$22)</f>
        <v>1.2698549067682639E-2</v>
      </c>
      <c r="D27" s="42">
        <f>D13+D20</f>
        <v>93</v>
      </c>
      <c r="E27" s="43">
        <f>IF(D27=0,0,D27/('Summary Load Customers '!$D$22+'Summary Load Customers '!$F$22))</f>
        <v>2.4497537075573585E-3</v>
      </c>
      <c r="F27" s="42">
        <f>B27+D27</f>
        <v>3936</v>
      </c>
      <c r="G27" s="43">
        <f>IF(F27=0,0,F27/'Summary Load Customers '!$H$22)</f>
        <v>1.1556213226226967E-2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3,936 of UI's customers, or 1.2%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42"/>
  <sheetViews>
    <sheetView showZeros="0" zoomScale="110" zoomScaleNormal="110" workbookViewId="0">
      <selection activeCell="C16" sqref="C16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October 31, 2019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119</v>
      </c>
      <c r="C9" s="84">
        <v>2</v>
      </c>
      <c r="D9" s="85">
        <f>SUM(B9:C9)</f>
        <v>121</v>
      </c>
      <c r="E9" s="87"/>
      <c r="F9" s="87"/>
      <c r="G9" s="86"/>
      <c r="H9" s="75"/>
    </row>
    <row r="10" spans="1:9" x14ac:dyDescent="0.2">
      <c r="A10" s="82" t="s">
        <v>15</v>
      </c>
      <c r="B10" s="84">
        <v>2656</v>
      </c>
      <c r="C10" s="84">
        <v>32</v>
      </c>
      <c r="D10" s="85">
        <f>SUM(B10:C10)</f>
        <v>2688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2775</v>
      </c>
      <c r="C11" s="91">
        <f>IF(SUM(C8:C10)=0,0,SUM(C8:C10))</f>
        <v>34</v>
      </c>
      <c r="D11" s="91">
        <f>IF(SUM(D8:D10)=0,0,SUM(D8:D10))</f>
        <v>2809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463</v>
      </c>
      <c r="C16" s="84">
        <v>1</v>
      </c>
      <c r="D16" s="85">
        <f>SUM(B16:C16)</f>
        <v>464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465</v>
      </c>
      <c r="C17" s="91">
        <f>IF(SUM(C14:C16)=0,0,SUM(C14:C16))</f>
        <v>1</v>
      </c>
      <c r="D17" s="91">
        <f>IF(SUM(D14:D16)=0,0,SUM(D14:D16))</f>
        <v>466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121</v>
      </c>
      <c r="C21" s="96">
        <f>IF(C9+C15=0,0,C9+C15)</f>
        <v>2</v>
      </c>
      <c r="D21" s="85">
        <f t="shared" si="0"/>
        <v>123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3119</v>
      </c>
      <c r="C22" s="96">
        <f>IF(C10+C16=0,0,C10+C16)</f>
        <v>33</v>
      </c>
      <c r="D22" s="85">
        <f>IF(D10+D16=0,0,D10+D16)</f>
        <v>3152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3240</v>
      </c>
      <c r="C23" s="91">
        <f>IF(SUM(C20:C22)=0,0,SUM(C20:C22))</f>
        <v>35</v>
      </c>
      <c r="D23" s="91">
        <f>SUM(D20:D22)</f>
        <v>3275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178</v>
      </c>
      <c r="C27" s="84">
        <v>11</v>
      </c>
      <c r="D27" s="85">
        <f>SUM(B27:C27)</f>
        <v>189</v>
      </c>
    </row>
    <row r="28" spans="1:8" x14ac:dyDescent="0.2">
      <c r="A28" s="82" t="s">
        <v>15</v>
      </c>
      <c r="B28" s="84">
        <v>425</v>
      </c>
      <c r="C28" s="84">
        <v>47</v>
      </c>
      <c r="D28" s="85">
        <f>SUM(B28:C28)</f>
        <v>472</v>
      </c>
    </row>
    <row r="29" spans="1:8" x14ac:dyDescent="0.2">
      <c r="A29" s="90" t="str">
        <f>A23</f>
        <v>Total</v>
      </c>
      <c r="B29" s="110">
        <f>IF(B27+B28=0,0,B27+B28)</f>
        <v>603</v>
      </c>
      <c r="C29" s="91">
        <f>IF(SUM(C26:C28)=0,0,SUM(C26:C28))</f>
        <v>58</v>
      </c>
      <c r="D29" s="91">
        <f>IF(SUM(D26:D28)=0,0,SUM(D26:D28))</f>
        <v>661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299</v>
      </c>
      <c r="C33" s="96">
        <f t="shared" si="1"/>
        <v>13</v>
      </c>
      <c r="D33" s="85">
        <f t="shared" si="1"/>
        <v>312</v>
      </c>
      <c r="E33" s="75"/>
      <c r="F33" s="75"/>
      <c r="G33" s="75"/>
    </row>
    <row r="34" spans="1:7" x14ac:dyDescent="0.2">
      <c r="A34" s="82" t="s">
        <v>15</v>
      </c>
      <c r="B34" s="96">
        <f>B22+B28</f>
        <v>3544</v>
      </c>
      <c r="C34" s="96">
        <f t="shared" si="1"/>
        <v>80</v>
      </c>
      <c r="D34" s="85">
        <f t="shared" si="1"/>
        <v>3624</v>
      </c>
    </row>
    <row r="35" spans="1:7" x14ac:dyDescent="0.2">
      <c r="A35" s="90" t="str">
        <f>A29</f>
        <v>Total</v>
      </c>
      <c r="B35" s="91">
        <f>IF(B33+B34=0,0,B33+B34)</f>
        <v>3843</v>
      </c>
      <c r="C35" s="91">
        <f>IF(SUM(C32:C34)=0,0,SUM(C32:C34))</f>
        <v>93</v>
      </c>
      <c r="D35" s="91">
        <f>SUM(D32:D34)</f>
        <v>3936</v>
      </c>
    </row>
    <row r="37" spans="1:7" x14ac:dyDescent="0.2">
      <c r="A37" s="97" t="str">
        <f>"In summary, "&amp;TEXT($D$23,"0,000")&amp; " of UI's customers are participating in the CTCleanEnergyOptions Program"</f>
        <v>In summary, 3,275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661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3,936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2019-11-11T20:41:59Z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-1768069505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