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User\WRK_GRP\File_output_data\PURA_reports_filings\06-10-22_Switch_reports_and_letters\Supplier Counts\2019-12\"/>
    </mc:Choice>
  </mc:AlternateContent>
  <xr:revisionPtr revIDLastSave="0" documentId="10_ncr:100000_{05DA18F6-F68C-47AA-A2A2-D24B2CFEAB82}" xr6:coauthVersionLast="31" xr6:coauthVersionMax="31" xr10:uidLastSave="{00000000-0000-0000-0000-000000000000}"/>
  <bookViews>
    <workbookView xWindow="0" yWindow="0" windowWidth="28800" windowHeight="11625" tabRatio="838" activeTab="1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79017"/>
</workbook>
</file>

<file path=xl/calcChain.xml><?xml version="1.0" encoding="utf-8"?>
<calcChain xmlns="http://schemas.openxmlformats.org/spreadsheetml/2006/main">
  <c r="F21" i="7" l="1"/>
  <c r="F20" i="7"/>
  <c r="D21" i="7"/>
  <c r="D20" i="7"/>
  <c r="B20" i="7"/>
  <c r="B21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26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 s="1"/>
  <c r="A1" i="6"/>
  <c r="A1" i="5"/>
  <c r="C17" i="5"/>
  <c r="B11" i="5"/>
  <c r="B17" i="5"/>
  <c r="A22" i="7"/>
  <c r="A21" i="7"/>
  <c r="D10" i="7"/>
  <c r="F10" i="7" s="1"/>
  <c r="H10" i="7" s="1"/>
  <c r="D19" i="7"/>
  <c r="F19" i="7" s="1"/>
  <c r="H19" i="7" s="1"/>
  <c r="A20" i="7"/>
  <c r="A17" i="5"/>
  <c r="C13" i="5"/>
  <c r="C29" i="5" l="1"/>
  <c r="D20" i="8" s="1"/>
  <c r="D26" i="5"/>
  <c r="D29" i="5" s="1"/>
  <c r="A38" i="5" s="1"/>
  <c r="C32" i="5"/>
  <c r="C20" i="7"/>
  <c r="C21" i="7"/>
  <c r="D22" i="5"/>
  <c r="D34" i="5" s="1"/>
  <c r="D21" i="5"/>
  <c r="D33" i="5" s="1"/>
  <c r="F20" i="8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H11" i="7" l="1"/>
  <c r="D13" i="7"/>
  <c r="E12" i="7" s="1"/>
  <c r="F13" i="7"/>
  <c r="G12" i="7" s="1"/>
  <c r="E11" i="7" l="1"/>
  <c r="G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<sst xmlns="http://schemas.openxmlformats.org/spreadsheetml/2006/main" count="159" uniqueCount="93">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</sst>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12_Dec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19/201912_December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46186.285000000003</v>
          </cell>
        </row>
        <row r="25">
          <cell r="H25">
            <v>123421.33799999999</v>
          </cell>
        </row>
        <row r="26">
          <cell r="H26">
            <v>67067.388000000006</v>
          </cell>
        </row>
        <row r="29">
          <cell r="H29">
            <v>103575.01099999998</v>
          </cell>
        </row>
        <row r="30">
          <cell r="H30">
            <v>47523.630000000005</v>
          </cell>
        </row>
        <row r="31">
          <cell r="H31">
            <v>4444.0789999999997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85548</v>
          </cell>
        </row>
        <row r="19">
          <cell r="B19">
            <v>19411</v>
          </cell>
        </row>
        <row r="20">
          <cell r="B20">
            <v>206</v>
          </cell>
        </row>
        <row r="22">
          <cell r="B22">
            <v>217012</v>
          </cell>
        </row>
        <row r="23">
          <cell r="B23">
            <v>18416</v>
          </cell>
        </row>
        <row r="24">
          <cell r="B24">
            <v>21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showGridLines="0" showZeros="0" zoomScaleNormal="100" workbookViewId="0">
      <selection activeCell="F21" sqref="F2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46186.285000000003</v>
      </c>
      <c r="C11" s="40">
        <f>IF(B11=0,0,B11/$B$13)</f>
        <v>0.30839934104202738</v>
      </c>
      <c r="D11" s="68">
        <f>[1]Check!$H$25</f>
        <v>123421.33799999999</v>
      </c>
      <c r="E11" s="40">
        <f>IF(D11=0,0,D11/$D$13)</f>
        <v>0.72199456611089008</v>
      </c>
      <c r="F11" s="68">
        <f>[1]Check!$H$26</f>
        <v>67067.388000000006</v>
      </c>
      <c r="G11" s="40">
        <f>IF(F11=0,0,F11/$F$13)</f>
        <v>0.93785501561588724</v>
      </c>
      <c r="H11" s="41">
        <f>IF(B11+D11+F11=0,0,B11+D11+F11)</f>
        <v>236675.011</v>
      </c>
      <c r="I11" s="40">
        <f>IF(H11=0,0,H11/$H$13)</f>
        <v>0.60342761760558949</v>
      </c>
    </row>
    <row r="12" spans="1:15" ht="18" customHeight="1" x14ac:dyDescent="0.2">
      <c r="A12" s="39" t="s">
        <v>11</v>
      </c>
      <c r="B12" s="69">
        <f>[1]Check!$H$29</f>
        <v>103575.01099999998</v>
      </c>
      <c r="C12" s="40">
        <f>IF(B12=0,0,B12/$B$13)</f>
        <v>0.69160065895797274</v>
      </c>
      <c r="D12" s="69">
        <f>[1]Check!$H$30</f>
        <v>47523.630000000005</v>
      </c>
      <c r="E12" s="40">
        <f>IF(D12=0,0,D12/$D$13)</f>
        <v>0.27800543388910992</v>
      </c>
      <c r="F12" s="69">
        <f>[1]Check!$H$31</f>
        <v>4444.0789999999997</v>
      </c>
      <c r="G12" s="40">
        <f>IF(F12=0,0,F12/$F$13)</f>
        <v>6.2144984384112825E-2</v>
      </c>
      <c r="H12" s="102">
        <f>IF(B12+D12+F12=0,0,B12+D12+F12)</f>
        <v>155542.72</v>
      </c>
      <c r="I12" s="40">
        <f>IF(H12=0,0,H12/$H$13)</f>
        <v>0.39657238239441039</v>
      </c>
    </row>
    <row r="13" spans="1:15" ht="18" customHeight="1" x14ac:dyDescent="0.2">
      <c r="A13" s="107" t="s">
        <v>6</v>
      </c>
      <c r="B13" s="42">
        <f>SUM(B11:B12)</f>
        <v>149761.29599999997</v>
      </c>
      <c r="C13" s="43"/>
      <c r="D13" s="42">
        <f>SUM(D11:D12)</f>
        <v>170944.96799999999</v>
      </c>
      <c r="E13" s="43"/>
      <c r="F13" s="42">
        <f>SUM(F11:F12)</f>
        <v>71511.467000000004</v>
      </c>
      <c r="G13" s="43"/>
      <c r="H13" s="42">
        <f>IF(H11+H12=0,0,H11+H12)</f>
        <v>392217.73100000003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236,675 MWh, or 60.3%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155,543 MHh, or 39.7%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85548</v>
      </c>
      <c r="C20" s="40">
        <f>IF(B20=0,0,B20/$B$22)</f>
        <v>0.28274722369116867</v>
      </c>
      <c r="D20" s="68">
        <f>[2]Summary!$B$19</f>
        <v>19411</v>
      </c>
      <c r="E20" s="53">
        <f>IF(D20=0,0,D20/$D$22)</f>
        <v>0.51315198138895501</v>
      </c>
      <c r="F20" s="68">
        <f>[2]Summary!$B$20</f>
        <v>206</v>
      </c>
      <c r="G20" s="40">
        <f>IF(F20=0,0,F20/$F$22)</f>
        <v>0.90748898678414092</v>
      </c>
      <c r="H20" s="41">
        <f>IF(B20+D20+F20=0,0,B20+D20+F20)</f>
        <v>105165</v>
      </c>
      <c r="I20" s="40">
        <f>IF(H20=0,0,H20/$H$22)</f>
        <v>0.30875125508640278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217012</v>
      </c>
      <c r="C21" s="40">
        <f>IF(B21=0,0,B21/$B$22)</f>
        <v>0.71725277630883133</v>
      </c>
      <c r="D21" s="69">
        <f>[2]Summary!$B$23</f>
        <v>18416</v>
      </c>
      <c r="E21" s="53">
        <f>IF(D21=0,0,D21/$D$22)</f>
        <v>0.48684801861104504</v>
      </c>
      <c r="F21" s="69">
        <f>[2]Summary!$B$24</f>
        <v>21</v>
      </c>
      <c r="G21" s="40">
        <f>IF(F21=0,0,F21/$F$22)</f>
        <v>9.2511013215859028E-2</v>
      </c>
      <c r="H21" s="69">
        <f>IF(B21+D21+F21=0,0,B21+D21+F21)</f>
        <v>235449</v>
      </c>
      <c r="I21" s="40">
        <f>IF(H21=0,0,H21/$H$22)</f>
        <v>0.69124874491359722</v>
      </c>
    </row>
    <row r="22" spans="1:17" ht="18" customHeight="1" x14ac:dyDescent="0.2">
      <c r="A22" s="39" t="str">
        <f>A13</f>
        <v>Total</v>
      </c>
      <c r="B22" s="42">
        <f>SUM(B20:B21)</f>
        <v>302560</v>
      </c>
      <c r="C22" s="55"/>
      <c r="D22" s="42">
        <f>SUM(D20:D21)</f>
        <v>37827</v>
      </c>
      <c r="E22" s="43"/>
      <c r="F22" s="42">
        <f>SUM(F20:F21)</f>
        <v>227</v>
      </c>
      <c r="G22" s="43"/>
      <c r="H22" s="42">
        <f>IF(H20+H21=0,0,H20+H21)</f>
        <v>340614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105,165 of UI's total customers, or 30.9%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235,449 or 69.1%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"/>
  <sheetViews>
    <sheetView showGridLines="0" showZeros="0" tabSelected="1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91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December 31,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">
      <c r="A9" s="105">
        <v>1</v>
      </c>
      <c r="B9" t="s">
        <v>59</v>
      </c>
      <c r="C9" s="115">
        <v>118</v>
      </c>
      <c r="D9" s="117">
        <v>114</v>
      </c>
      <c r="E9" s="119">
        <v>232</v>
      </c>
      <c r="F9" s="21">
        <f t="shared" ref="F9:F45" si="0">IF(E9=0,"",E9/$E$46)</f>
        <v>2.2065187411430148E-3</v>
      </c>
    </row>
    <row r="10" spans="1:11" ht="14.25" customHeight="1" x14ac:dyDescent="0.2">
      <c r="A10" s="105">
        <v>2</v>
      </c>
      <c r="B10" t="s">
        <v>56</v>
      </c>
      <c r="C10" s="116">
        <v>341</v>
      </c>
      <c r="D10" s="118">
        <v>443</v>
      </c>
      <c r="E10" s="120">
        <v>784</v>
      </c>
      <c r="F10" s="21">
        <f t="shared" si="0"/>
        <v>7.4565116080005326E-3</v>
      </c>
    </row>
    <row r="11" spans="1:11" ht="14.25" customHeight="1" x14ac:dyDescent="0.2">
      <c r="A11" s="105">
        <v>3</v>
      </c>
      <c r="B11" t="s">
        <v>50</v>
      </c>
      <c r="C11" s="116">
        <v>10324</v>
      </c>
      <c r="D11" s="118">
        <v>773</v>
      </c>
      <c r="E11" s="120">
        <v>11097</v>
      </c>
      <c r="F11" s="21">
        <f t="shared" si="0"/>
        <v>0.10554197616579325</v>
      </c>
    </row>
    <row r="12" spans="1:11" ht="14.25" customHeight="1" x14ac:dyDescent="0.2">
      <c r="A12" s="105">
        <v>4</v>
      </c>
      <c r="B12" t="s">
        <v>60</v>
      </c>
      <c r="C12" s="116">
        <v>17</v>
      </c>
      <c r="D12" s="118">
        <v>3014</v>
      </c>
      <c r="E12" s="120">
        <v>3031</v>
      </c>
      <c r="F12" s="21">
        <f t="shared" si="0"/>
        <v>2.882740648450206E-2</v>
      </c>
    </row>
    <row r="13" spans="1:11" ht="14.25" customHeight="1" x14ac:dyDescent="0.2">
      <c r="A13" s="105">
        <v>5</v>
      </c>
      <c r="B13" t="s">
        <v>61</v>
      </c>
      <c r="C13" s="116">
        <v>16</v>
      </c>
      <c r="D13" s="118">
        <v>191</v>
      </c>
      <c r="E13" s="120">
        <v>207</v>
      </c>
      <c r="F13" s="21">
        <f t="shared" si="0"/>
        <v>1.9687473250715693E-3</v>
      </c>
    </row>
    <row r="14" spans="1:11" ht="14.25" customHeight="1" x14ac:dyDescent="0.2">
      <c r="A14" s="105">
        <v>6</v>
      </c>
      <c r="B14" t="s">
        <v>62</v>
      </c>
      <c r="C14" s="116">
        <v>500</v>
      </c>
      <c r="D14" s="118">
        <v>13</v>
      </c>
      <c r="E14" s="120">
        <v>513</v>
      </c>
      <c r="F14" s="21">
        <f t="shared" si="0"/>
        <v>4.8790694577860632E-3</v>
      </c>
    </row>
    <row r="15" spans="1:11" ht="14.25" customHeight="1" x14ac:dyDescent="0.2">
      <c r="A15" s="105">
        <v>7</v>
      </c>
      <c r="B15" t="s">
        <v>63</v>
      </c>
      <c r="C15" s="116">
        <v>6551</v>
      </c>
      <c r="D15" s="118">
        <v>228</v>
      </c>
      <c r="E15" s="120">
        <v>6779</v>
      </c>
      <c r="F15" s="21">
        <f t="shared" si="0"/>
        <v>6.4474097181933171E-2</v>
      </c>
    </row>
    <row r="16" spans="1:11" ht="14.25" customHeight="1" x14ac:dyDescent="0.2">
      <c r="A16" s="105">
        <v>8</v>
      </c>
      <c r="B16" t="s">
        <v>64</v>
      </c>
      <c r="C16" s="116">
        <v>484</v>
      </c>
      <c r="D16" s="118">
        <v>86</v>
      </c>
      <c r="E16" s="120">
        <v>570</v>
      </c>
      <c r="F16" s="21">
        <f t="shared" si="0"/>
        <v>5.4211882864289591E-3</v>
      </c>
    </row>
    <row r="17" spans="1:6" ht="14.25" customHeight="1" x14ac:dyDescent="0.2">
      <c r="A17" s="105">
        <v>9</v>
      </c>
      <c r="B17" t="s">
        <v>65</v>
      </c>
      <c r="C17" s="116">
        <v>736</v>
      </c>
      <c r="D17" s="118">
        <v>4627</v>
      </c>
      <c r="E17" s="120">
        <v>5363</v>
      </c>
      <c r="F17" s="21">
        <f t="shared" si="0"/>
        <v>5.1006724175646501E-2</v>
      </c>
    </row>
    <row r="18" spans="1:6" ht="14.25" customHeight="1" x14ac:dyDescent="0.2">
      <c r="A18" s="105">
        <v>10</v>
      </c>
      <c r="B18" t="s">
        <v>66</v>
      </c>
      <c r="C18" s="116">
        <v>7453</v>
      </c>
      <c r="D18" s="118">
        <v>979</v>
      </c>
      <c r="E18" s="120">
        <v>8432</v>
      </c>
      <c r="F18" s="21">
        <f t="shared" si="0"/>
        <v>8.0195543212577158E-2</v>
      </c>
    </row>
    <row r="19" spans="1:6" ht="14.25" customHeight="1" x14ac:dyDescent="0.2">
      <c r="A19" s="105">
        <v>11</v>
      </c>
      <c r="B19" t="s">
        <v>57</v>
      </c>
      <c r="C19" s="116">
        <v>221</v>
      </c>
      <c r="D19" s="118">
        <v>1398</v>
      </c>
      <c r="E19" s="120">
        <v>1619</v>
      </c>
      <c r="F19" s="21">
        <f t="shared" si="0"/>
        <v>1.5398076904786813E-2</v>
      </c>
    </row>
    <row r="20" spans="1:6" ht="14.25" customHeight="1" x14ac:dyDescent="0.2">
      <c r="A20" s="105">
        <v>12</v>
      </c>
      <c r="B20" t="s">
        <v>67</v>
      </c>
      <c r="C20" s="116">
        <v>6401</v>
      </c>
      <c r="D20" s="118">
        <v>1658</v>
      </c>
      <c r="E20" s="120">
        <v>8059</v>
      </c>
      <c r="F20" s="21">
        <f t="shared" si="0"/>
        <v>7.6647993684791194E-2</v>
      </c>
    </row>
    <row r="21" spans="1:6" ht="14.25" customHeight="1" x14ac:dyDescent="0.2">
      <c r="A21" s="105">
        <v>13</v>
      </c>
      <c r="B21" t="s">
        <v>68</v>
      </c>
      <c r="C21" s="116">
        <v>3285</v>
      </c>
      <c r="D21" s="118">
        <v>270</v>
      </c>
      <c r="E21" s="120">
        <v>3555</v>
      </c>
      <c r="F21" s="21">
        <f t="shared" si="0"/>
        <v>3.3811095365359561E-2</v>
      </c>
    </row>
    <row r="22" spans="1:6" ht="14.25" customHeight="1" x14ac:dyDescent="0.2">
      <c r="A22" s="105">
        <v>14</v>
      </c>
      <c r="B22" t="s">
        <v>69</v>
      </c>
      <c r="C22" s="116">
        <v>502</v>
      </c>
      <c r="D22" s="118">
        <v>213</v>
      </c>
      <c r="E22" s="120">
        <v>715</v>
      </c>
      <c r="F22" s="21">
        <f t="shared" si="0"/>
        <v>6.8002624996433428E-3</v>
      </c>
    </row>
    <row r="23" spans="1:6" ht="14.25" customHeight="1" x14ac:dyDescent="0.2">
      <c r="A23" s="105">
        <v>15</v>
      </c>
      <c r="B23" t="s">
        <v>70</v>
      </c>
      <c r="C23" s="116">
        <v>4</v>
      </c>
      <c r="D23" s="118">
        <v>4</v>
      </c>
      <c r="E23" s="120">
        <v>8</v>
      </c>
      <c r="F23" s="21">
        <f t="shared" si="0"/>
        <v>7.6086853142862579E-5</v>
      </c>
    </row>
    <row r="24" spans="1:6" ht="14.25" customHeight="1" x14ac:dyDescent="0.2">
      <c r="A24" s="105">
        <v>16</v>
      </c>
      <c r="B24" t="s">
        <v>71</v>
      </c>
      <c r="C24" s="116">
        <v>427</v>
      </c>
      <c r="D24" s="118">
        <v>87</v>
      </c>
      <c r="E24" s="120">
        <v>514</v>
      </c>
      <c r="F24" s="21">
        <f t="shared" si="0"/>
        <v>4.8885803144289204E-3</v>
      </c>
    </row>
    <row r="25" spans="1:6" ht="14.25" customHeight="1" x14ac:dyDescent="0.2">
      <c r="A25" s="105">
        <v>17</v>
      </c>
      <c r="B25" t="s">
        <v>72</v>
      </c>
      <c r="C25" s="116">
        <v>50</v>
      </c>
      <c r="D25" s="118">
        <v>1</v>
      </c>
      <c r="E25" s="120">
        <v>51</v>
      </c>
      <c r="F25" s="21">
        <f t="shared" si="0"/>
        <v>4.8505368878574892E-4</v>
      </c>
    </row>
    <row r="26" spans="1:6" ht="14.25" customHeight="1" x14ac:dyDescent="0.2">
      <c r="A26" s="105">
        <v>18</v>
      </c>
      <c r="B26" t="s">
        <v>73</v>
      </c>
      <c r="C26" s="116">
        <v>625</v>
      </c>
      <c r="D26" s="118">
        <v>1232</v>
      </c>
      <c r="E26" s="120">
        <v>1857</v>
      </c>
      <c r="F26" s="21">
        <f t="shared" si="0"/>
        <v>1.7661660785786976E-2</v>
      </c>
    </row>
    <row r="27" spans="1:6" ht="14.25" customHeight="1" x14ac:dyDescent="0.2">
      <c r="A27" s="105">
        <v>19</v>
      </c>
      <c r="B27" t="s">
        <v>74</v>
      </c>
      <c r="C27" s="116">
        <v>78</v>
      </c>
      <c r="D27" s="118">
        <v>80</v>
      </c>
      <c r="E27" s="120">
        <v>158</v>
      </c>
      <c r="F27" s="21">
        <f t="shared" si="0"/>
        <v>1.502715349571536E-3</v>
      </c>
    </row>
    <row r="28" spans="1:6" ht="14.25" customHeight="1" x14ac:dyDescent="0.2">
      <c r="A28" s="105">
        <v>20</v>
      </c>
      <c r="B28" t="s">
        <v>12</v>
      </c>
      <c r="C28" s="116">
        <v>6422</v>
      </c>
      <c r="D28" s="118">
        <v>722</v>
      </c>
      <c r="E28" s="120">
        <v>7144</v>
      </c>
      <c r="F28" s="21">
        <f t="shared" si="0"/>
        <v>6.7945559856576285E-2</v>
      </c>
    </row>
    <row r="29" spans="1:6" ht="14.25" customHeight="1" x14ac:dyDescent="0.2">
      <c r="A29" s="105">
        <v>21</v>
      </c>
      <c r="B29" t="s">
        <v>75</v>
      </c>
      <c r="C29" s="116">
        <v>845</v>
      </c>
      <c r="D29" s="118">
        <v>28</v>
      </c>
      <c r="E29" s="120">
        <v>873</v>
      </c>
      <c r="F29" s="21">
        <f t="shared" si="0"/>
        <v>8.3029778492148786E-3</v>
      </c>
    </row>
    <row r="30" spans="1:6" ht="14.25" customHeight="1" x14ac:dyDescent="0.2">
      <c r="A30" s="105">
        <v>22</v>
      </c>
      <c r="B30" t="s">
        <v>76</v>
      </c>
      <c r="C30" s="116">
        <v>156</v>
      </c>
      <c r="D30" s="118">
        <v>85</v>
      </c>
      <c r="E30" s="120">
        <v>241</v>
      </c>
      <c r="F30" s="21">
        <f t="shared" si="0"/>
        <v>2.2921164509287352E-3</v>
      </c>
    </row>
    <row r="31" spans="1:6" ht="14.25" customHeight="1" x14ac:dyDescent="0.2">
      <c r="A31" s="105">
        <v>23</v>
      </c>
      <c r="B31" t="s">
        <v>77</v>
      </c>
      <c r="C31" s="116">
        <v>7</v>
      </c>
      <c r="D31" s="118"/>
      <c r="E31" s="120">
        <v>7</v>
      </c>
      <c r="F31" s="21">
        <f t="shared" si="0"/>
        <v>6.6575996500004751E-5</v>
      </c>
    </row>
    <row r="32" spans="1:6" ht="14.25" customHeight="1" x14ac:dyDescent="0.2">
      <c r="A32" s="105">
        <v>24</v>
      </c>
      <c r="B32" t="s">
        <v>78</v>
      </c>
      <c r="C32" s="116">
        <v>207</v>
      </c>
      <c r="D32" s="118">
        <v>274</v>
      </c>
      <c r="E32" s="120">
        <v>481</v>
      </c>
      <c r="F32" s="21">
        <f t="shared" si="0"/>
        <v>4.5747220452146123E-3</v>
      </c>
    </row>
    <row r="33" spans="1:7" ht="14.25" customHeight="1" x14ac:dyDescent="0.2">
      <c r="A33" s="105">
        <v>25</v>
      </c>
      <c r="B33" t="s">
        <v>79</v>
      </c>
      <c r="C33" s="116">
        <v>7319</v>
      </c>
      <c r="D33" s="118">
        <v>203</v>
      </c>
      <c r="E33" s="120">
        <v>7522</v>
      </c>
      <c r="F33" s="21">
        <f t="shared" si="0"/>
        <v>7.154066366757654E-2</v>
      </c>
    </row>
    <row r="34" spans="1:7" ht="14.25" customHeight="1" x14ac:dyDescent="0.2">
      <c r="A34" s="105">
        <v>26</v>
      </c>
      <c r="B34" t="s">
        <v>80</v>
      </c>
      <c r="C34" s="116">
        <v>899</v>
      </c>
      <c r="D34" s="118">
        <v>231</v>
      </c>
      <c r="E34" s="120">
        <v>1130</v>
      </c>
      <c r="F34" s="21">
        <f t="shared" si="0"/>
        <v>1.0747268006429339E-2</v>
      </c>
    </row>
    <row r="35" spans="1:7" ht="14.25" customHeight="1" x14ac:dyDescent="0.2">
      <c r="A35" s="105">
        <v>27</v>
      </c>
      <c r="B35" t="s">
        <v>81</v>
      </c>
      <c r="C35" s="116">
        <v>4843</v>
      </c>
      <c r="D35" s="118">
        <v>884</v>
      </c>
      <c r="E35" s="120">
        <v>5727</v>
      </c>
      <c r="F35" s="21">
        <f t="shared" si="0"/>
        <v>5.4468675993646749E-2</v>
      </c>
    </row>
    <row r="36" spans="1:7" ht="14.25" customHeight="1" x14ac:dyDescent="0.2">
      <c r="A36" s="105">
        <v>28</v>
      </c>
      <c r="B36" t="s">
        <v>82</v>
      </c>
      <c r="C36" s="116">
        <v>222</v>
      </c>
      <c r="D36" s="118">
        <v>97</v>
      </c>
      <c r="E36" s="120">
        <v>319</v>
      </c>
      <c r="F36" s="21">
        <f t="shared" si="0"/>
        <v>3.0339632690716454E-3</v>
      </c>
    </row>
    <row r="37" spans="1:7" ht="14.25" customHeight="1" x14ac:dyDescent="0.2">
      <c r="A37" s="105">
        <v>29</v>
      </c>
      <c r="B37" t="s">
        <v>83</v>
      </c>
      <c r="C37" s="116">
        <v>3383</v>
      </c>
      <c r="D37" s="118">
        <v>220</v>
      </c>
      <c r="E37" s="120">
        <v>3603</v>
      </c>
      <c r="F37" s="21">
        <f t="shared" si="0"/>
        <v>3.426761648421673E-2</v>
      </c>
    </row>
    <row r="38" spans="1:7" ht="14.25" customHeight="1" x14ac:dyDescent="0.2">
      <c r="A38" s="105">
        <v>30</v>
      </c>
      <c r="B38" t="s">
        <v>84</v>
      </c>
      <c r="C38" s="116">
        <v>1206</v>
      </c>
      <c r="D38" s="118">
        <v>210</v>
      </c>
      <c r="E38" s="120">
        <v>1416</v>
      </c>
      <c r="F38" s="21">
        <f t="shared" si="0"/>
        <v>1.3467373006286676E-2</v>
      </c>
    </row>
    <row r="39" spans="1:7" ht="14.25" customHeight="1" x14ac:dyDescent="0.2">
      <c r="A39" s="105">
        <v>31</v>
      </c>
      <c r="B39" t="s">
        <v>85</v>
      </c>
      <c r="C39" s="116"/>
      <c r="D39" s="118">
        <v>13</v>
      </c>
      <c r="E39" s="120">
        <v>13</v>
      </c>
      <c r="F39" s="21">
        <f t="shared" si="0"/>
        <v>1.2364113635715169E-4</v>
      </c>
    </row>
    <row r="40" spans="1:7" ht="14.25" customHeight="1" x14ac:dyDescent="0.2">
      <c r="A40" s="105">
        <v>32</v>
      </c>
      <c r="B40" t="s">
        <v>54</v>
      </c>
      <c r="C40" s="116">
        <v>2537</v>
      </c>
      <c r="D40" s="118">
        <v>98</v>
      </c>
      <c r="E40" s="120">
        <v>2635</v>
      </c>
      <c r="F40" s="21">
        <f t="shared" si="0"/>
        <v>2.5061107253930362E-2</v>
      </c>
    </row>
    <row r="41" spans="1:7" ht="14.25" customHeight="1" x14ac:dyDescent="0.2">
      <c r="A41" s="105">
        <v>33</v>
      </c>
      <c r="B41" t="s">
        <v>86</v>
      </c>
      <c r="C41" s="116">
        <v>10026</v>
      </c>
      <c r="D41" s="118">
        <v>214</v>
      </c>
      <c r="E41" s="120">
        <v>10240</v>
      </c>
      <c r="F41" s="21">
        <f t="shared" si="0"/>
        <v>9.7391172022864098E-2</v>
      </c>
    </row>
    <row r="42" spans="1:7" ht="14.25" customHeight="1" x14ac:dyDescent="0.2">
      <c r="A42" s="105">
        <v>34</v>
      </c>
      <c r="B42" t="s">
        <v>87</v>
      </c>
      <c r="C42" s="116">
        <v>5903</v>
      </c>
      <c r="D42" s="118">
        <v>430</v>
      </c>
      <c r="E42" s="120">
        <v>6333</v>
      </c>
      <c r="F42" s="21">
        <f t="shared" si="0"/>
        <v>6.0232255119218585E-2</v>
      </c>
    </row>
    <row r="43" spans="1:7" ht="14.25" customHeight="1" x14ac:dyDescent="0.2">
      <c r="A43" s="105">
        <v>35</v>
      </c>
      <c r="B43" t="s">
        <v>88</v>
      </c>
      <c r="C43" s="116">
        <v>515</v>
      </c>
      <c r="D43" s="118">
        <v>94</v>
      </c>
      <c r="E43" s="120">
        <v>609</v>
      </c>
      <c r="F43" s="21">
        <f t="shared" si="0"/>
        <v>5.7921116955004133E-3</v>
      </c>
    </row>
    <row r="44" spans="1:7" x14ac:dyDescent="0.2">
      <c r="A44" s="105">
        <v>36</v>
      </c>
      <c r="B44" t="s">
        <v>90</v>
      </c>
      <c r="C44" s="116">
        <v>31</v>
      </c>
      <c r="D44" s="118">
        <v>16</v>
      </c>
      <c r="E44" s="120">
        <v>47</v>
      </c>
      <c r="F44" s="21">
        <f t="shared" si="0"/>
        <v>4.4701026221431766E-4</v>
      </c>
    </row>
    <row r="45" spans="1:7" x14ac:dyDescent="0.2">
      <c r="A45" s="105">
        <v>37</v>
      </c>
      <c r="B45" t="s">
        <v>89</v>
      </c>
      <c r="C45" s="116">
        <v>2894</v>
      </c>
      <c r="D45" s="118">
        <v>365</v>
      </c>
      <c r="E45" s="120">
        <v>3259</v>
      </c>
      <c r="F45" s="21">
        <f t="shared" si="0"/>
        <v>3.0995881799073643E-2</v>
      </c>
      <c r="G45" s="109"/>
    </row>
    <row r="46" spans="1:7" x14ac:dyDescent="0.2">
      <c r="A46" s="105"/>
      <c r="B46" s="108" t="s">
        <v>58</v>
      </c>
      <c r="C46" s="112">
        <v>85548</v>
      </c>
      <c r="D46" s="113">
        <v>19595</v>
      </c>
      <c r="E46" s="114">
        <v>105143</v>
      </c>
      <c r="F46" s="21">
        <f>SUM(F9:F45)</f>
        <v>0.99999999999999989</v>
      </c>
      <c r="G46" s="109"/>
    </row>
    <row r="47" spans="1:7" x14ac:dyDescent="0.2">
      <c r="A47" s="106"/>
    </row>
    <row r="48" spans="1:7" x14ac:dyDescent="0.2">
      <c r="A48" s="1" t="s">
        <v>22</v>
      </c>
      <c r="B48" s="103"/>
    </row>
    <row r="49" spans="1:10" x14ac:dyDescent="0.2">
      <c r="A49" s="1" t="s">
        <v>21</v>
      </c>
      <c r="J49" s="104"/>
    </row>
    <row r="50" spans="1:10" x14ac:dyDescent="0.2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topLeftCell="A13" zoomScaleNormal="100" zoomScalePageLayoutView="70" workbookViewId="0">
      <selection activeCell="C13" sqref="C13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December 31,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3211</v>
      </c>
      <c r="C13" s="43">
        <f>IF(B13=0,0,B13/'Summary Load Customers '!$B$22)</f>
        <v>1.0612771020624008E-2</v>
      </c>
      <c r="D13" s="42">
        <f>REC_programs_detail!C23</f>
        <v>34</v>
      </c>
      <c r="E13" s="43">
        <f>IF(D13=0,0,D13/('Summary Load Customers '!$D$22+'Summary Load Customers '!$F$22))</f>
        <v>8.9346717822042356E-4</v>
      </c>
      <c r="F13" s="42">
        <f>B13+D13</f>
        <v>3245</v>
      </c>
      <c r="G13" s="43">
        <f>IF(F13=0,0,F13/'Summary Load Customers '!$H$22)</f>
        <v>9.5269131627003008E-3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3,245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601</v>
      </c>
      <c r="C20" s="43">
        <f>IF(B20=0,0,B20/'Summary Load Customers '!$B$22)</f>
        <v>1.9863828662083556E-3</v>
      </c>
      <c r="D20" s="42">
        <f>REC_programs_detail!C29</f>
        <v>58</v>
      </c>
      <c r="E20" s="43">
        <f>IF(D20=0,0,D20/('Summary Load Customers '!$D$22+'Summary Load Customers '!$F$22))</f>
        <v>1.5241498922583697E-3</v>
      </c>
      <c r="F20" s="42">
        <f>B20+D20</f>
        <v>659</v>
      </c>
      <c r="G20" s="43">
        <f>IF(F20=0,0,F20/'Summary Load Customers '!$H$22)</f>
        <v>1.9347413788041595E-3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0,659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3812</v>
      </c>
      <c r="C27" s="43">
        <f>IF(B27=0,0,B27/'Summary Load Customers '!$B$22)</f>
        <v>1.2599153886832365E-2</v>
      </c>
      <c r="D27" s="42">
        <f>D13+D20</f>
        <v>92</v>
      </c>
      <c r="E27" s="43">
        <f>IF(D27=0,0,D27/('Summary Load Customers '!$D$22+'Summary Load Customers '!$F$22))</f>
        <v>2.4176170704787933E-3</v>
      </c>
      <c r="F27" s="42">
        <f>B27+D27</f>
        <v>3904</v>
      </c>
      <c r="G27" s="43">
        <f>IF(F27=0,0,F27/'Summary Load Customers '!$H$22)</f>
        <v>1.1461654541504459E-2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3,904 of UI's customers, or 1.1%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42"/>
  <sheetViews>
    <sheetView showZeros="0" topLeftCell="A7" zoomScale="110" zoomScaleNormal="110" workbookViewId="0">
      <selection activeCell="C27" sqref="C27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December 31, 2019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118</v>
      </c>
      <c r="C9" s="84">
        <v>2</v>
      </c>
      <c r="D9" s="85">
        <f>SUM(B9:C9)</f>
        <v>120</v>
      </c>
      <c r="E9" s="87"/>
      <c r="F9" s="87"/>
      <c r="G9" s="86"/>
      <c r="H9" s="75"/>
    </row>
    <row r="10" spans="1:9" x14ac:dyDescent="0.2">
      <c r="A10" s="82" t="s">
        <v>15</v>
      </c>
      <c r="B10" s="84">
        <v>2633</v>
      </c>
      <c r="C10" s="84">
        <v>31</v>
      </c>
      <c r="D10" s="85">
        <f>SUM(B10:C10)</f>
        <v>2664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2751</v>
      </c>
      <c r="C11" s="91">
        <f>IF(SUM(C8:C10)=0,0,SUM(C8:C10))</f>
        <v>33</v>
      </c>
      <c r="D11" s="91">
        <f>IF(SUM(D8:D10)=0,0,SUM(D8:D10))</f>
        <v>2784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458</v>
      </c>
      <c r="C16" s="84">
        <v>1</v>
      </c>
      <c r="D16" s="85">
        <f>SUM(B16:C16)</f>
        <v>459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460</v>
      </c>
      <c r="C17" s="91">
        <f>IF(SUM(C14:C16)=0,0,SUM(C14:C16))</f>
        <v>1</v>
      </c>
      <c r="D17" s="91">
        <f>IF(SUM(D14:D16)=0,0,SUM(D14:D16))</f>
        <v>461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120</v>
      </c>
      <c r="C21" s="96">
        <f>IF(C9+C15=0,0,C9+C15)</f>
        <v>2</v>
      </c>
      <c r="D21" s="85">
        <f t="shared" si="0"/>
        <v>122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3091</v>
      </c>
      <c r="C22" s="96">
        <f>IF(C10+C16=0,0,C10+C16)</f>
        <v>32</v>
      </c>
      <c r="D22" s="85">
        <f>IF(D10+D16=0,0,D10+D16)</f>
        <v>3123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3211</v>
      </c>
      <c r="C23" s="91">
        <f>IF(SUM(C20:C22)=0,0,SUM(C20:C22))</f>
        <v>34</v>
      </c>
      <c r="D23" s="91">
        <f>SUM(D20:D22)</f>
        <v>3245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178</v>
      </c>
      <c r="C27" s="84">
        <v>11</v>
      </c>
      <c r="D27" s="85">
        <f>SUM(B27:C27)</f>
        <v>189</v>
      </c>
    </row>
    <row r="28" spans="1:8" x14ac:dyDescent="0.2">
      <c r="A28" s="82" t="s">
        <v>15</v>
      </c>
      <c r="B28" s="84">
        <v>423</v>
      </c>
      <c r="C28" s="84">
        <v>47</v>
      </c>
      <c r="D28" s="85">
        <f>SUM(B28:C28)</f>
        <v>470</v>
      </c>
    </row>
    <row r="29" spans="1:8" x14ac:dyDescent="0.2">
      <c r="A29" s="90" t="str">
        <f>A23</f>
        <v>Total</v>
      </c>
      <c r="B29" s="110">
        <f>IF(B27+B28=0,0,B27+B28)</f>
        <v>601</v>
      </c>
      <c r="C29" s="91">
        <f>IF(SUM(C26:C28)=0,0,SUM(C26:C28))</f>
        <v>58</v>
      </c>
      <c r="D29" s="91">
        <f>IF(SUM(D26:D28)=0,0,SUM(D26:D28))</f>
        <v>659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298</v>
      </c>
      <c r="C33" s="96">
        <f t="shared" si="1"/>
        <v>13</v>
      </c>
      <c r="D33" s="85">
        <f t="shared" si="1"/>
        <v>311</v>
      </c>
      <c r="E33" s="75"/>
      <c r="F33" s="75"/>
      <c r="G33" s="75"/>
    </row>
    <row r="34" spans="1:7" x14ac:dyDescent="0.2">
      <c r="A34" s="82" t="s">
        <v>15</v>
      </c>
      <c r="B34" s="96">
        <f>B22+B28</f>
        <v>3514</v>
      </c>
      <c r="C34" s="96">
        <f t="shared" si="1"/>
        <v>79</v>
      </c>
      <c r="D34" s="85">
        <f t="shared" si="1"/>
        <v>3593</v>
      </c>
    </row>
    <row r="35" spans="1:7" x14ac:dyDescent="0.2">
      <c r="A35" s="90" t="str">
        <f>A29</f>
        <v>Total</v>
      </c>
      <c r="B35" s="91">
        <f>IF(B33+B34=0,0,B33+B34)</f>
        <v>3812</v>
      </c>
      <c r="C35" s="91">
        <f>IF(SUM(C32:C34)=0,0,SUM(C32:C34))</f>
        <v>92</v>
      </c>
      <c r="D35" s="91">
        <f>SUM(D32:D34)</f>
        <v>3904</v>
      </c>
    </row>
    <row r="37" spans="1:7" x14ac:dyDescent="0.2">
      <c r="A37" s="97" t="str">
        <f>"In summary, "&amp;TEXT($D$23,"0,000")&amp; " of UI's customers are participating in the CTCleanEnergyOptions Program"</f>
        <v>In summary, 3,245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659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3,904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2020-01-14T18:34:09Z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-1536753023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