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heckCompatibility="1" defaultThemeVersion="124226"/>
  <bookViews>
    <workbookView xWindow="0" yWindow="0" windowWidth="20730" windowHeight="1162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1" i="7" l="1"/>
  <c r="F21" i="7"/>
  <c r="D21" i="7"/>
  <c r="B20" i="7"/>
  <c r="D20" i="7" l="1"/>
  <c r="F20" i="7"/>
  <c r="F12" i="7" l="1"/>
  <c r="D12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1" i="7" l="1"/>
  <c r="F13" i="7" l="1"/>
  <c r="G12" i="7" s="1"/>
  <c r="D11" i="7" l="1"/>
  <c r="D13" i="7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<sst xmlns="http://schemas.openxmlformats.org/spreadsheetml/2006/main" count="157" uniqueCount="91">
  <si>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</si>
  <si>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</si>
  <si>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</si>
  <si>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</si>
  <si>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</si>
  <si>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</si>
  <si>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</si>
  <si>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</si>
  <si>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</si>
  <si>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</si>
  <si>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</si>
  <si>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</si>
  <si>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</si>
  <si>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</si>
  <si>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</si>
  <si>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</si>
  <si>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</si>
  <si>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</si>
  <si>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</si>
  <si>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</si>
  <si>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</si>
  <si>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</si>
  <si>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</si>
  <si>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</si>
  <si>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</si>
  <si>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</si>
  <si>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</si>
  <si>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</si>
  <si>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</si>
  <si>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</si>
  <si>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</si>
  <si>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</si>
  <si>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</si>
  <si>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</si>
  <si>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</si>
  <si>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</si>
  <si>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</si>
  <si>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</si>
  <si>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</si>
  <si>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</si>
  <si>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</si>
  <si>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</si>
  <si>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</si>
  <si>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</si>
  <si>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</si>
  <si>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</si>
  <si>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</si>
  <si>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</si>
  <si>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</si>
  <si>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</si>
  <si>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</si>
  <si>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</si>
  <si>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</si>
  <si>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</si>
  <si>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</si>
  <si>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</si>
  <si>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</si>
  <si>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</si>
  <si>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</si>
  <si>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</si>
  <si>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</si>
  <si>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</si>
  <si>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</si>
  <si>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</si>
  <si>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</si>
  <si>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</si>
  <si>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</si>
  <si>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</si>
  <si>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</si>
  <si>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</si>
  <si>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</si>
  <si>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</si>
  <si>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</si>
  <si>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</si>
  <si>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</si>
  <si>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</si>
  <si>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</si>
  <si>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</si>
  <si>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</si>
  <si>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</si>
  <si>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</si>
  <si>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</si>
  <si>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</si>
  <si>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</si>
  <si>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</si>
  <si>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</si>
  <si>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</si>
  <si>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</si>
  <si>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</si>
  <si>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</si>
  <si>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February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</si>
</sst>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\WRK_GRP\File_output_data\Billing_Data\Daily_Load_Ufe\2020_Total\2020_02_Februar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\WRK_GRP\File_output_data\PURA_reports_filings\06-10-22_Switch_reports_and_letters\Customer_count_files\2020\202002_February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48523.043000000034</v>
          </cell>
        </row>
        <row r="25">
          <cell r="H25">
            <v>97601.601000000082</v>
          </cell>
        </row>
        <row r="26">
          <cell r="H26">
            <v>77477.37</v>
          </cell>
        </row>
        <row r="29">
          <cell r="H29">
            <v>111646.96400000001</v>
          </cell>
        </row>
        <row r="30">
          <cell r="H30">
            <v>49620.738999999994</v>
          </cell>
        </row>
        <row r="31">
          <cell r="H31">
            <v>3637.17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84923</v>
          </cell>
        </row>
        <row r="19">
          <cell r="B19">
            <v>19577</v>
          </cell>
        </row>
        <row r="20">
          <cell r="B20">
            <v>204</v>
          </cell>
        </row>
        <row r="22">
          <cell r="B22">
            <v>217951</v>
          </cell>
        </row>
        <row r="23">
          <cell r="B23">
            <v>18246</v>
          </cell>
        </row>
        <row r="24">
          <cell r="B24">
            <v>19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21" sqref="F2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90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48523.043000000034</v>
      </c>
      <c r="C11" s="40">
        <f>IF(B11=0,0,B11/$B$13)</f>
        <v>0.30294712417662578</v>
      </c>
      <c r="D11" s="68">
        <f>[1]Check!$H$25</f>
        <v>97601.601000000082</v>
      </c>
      <c r="E11" s="40">
        <f>IF(D11=0,0,D11/$D$13)</f>
        <v>0.66295374058040391</v>
      </c>
      <c r="F11" s="68">
        <f>[1]Check!$H$26</f>
        <v>77477.37</v>
      </c>
      <c r="G11" s="40">
        <f>IF(F11=0,0,F11/$F$13)</f>
        <v>0.95516007364401012</v>
      </c>
      <c r="H11" s="41">
        <f>IF(B11+D11+F11=0,0,B11+D11+F11)</f>
        <v>223602.01400000011</v>
      </c>
      <c r="I11" s="40">
        <f>IF(H11=0,0,H11/$H$13)</f>
        <v>0.57554195686626286</v>
      </c>
    </row>
    <row r="12" spans="1:15" ht="18" customHeight="1">
      <c r="A12" s="39" t="s">
        <v>11</v>
      </c>
      <c r="B12" s="69">
        <f>[1]Check!$H$29</f>
        <v>111646.96400000001</v>
      </c>
      <c r="C12" s="40">
        <f>IF(B12=0,0,B12/$B$13)</f>
        <v>0.69705287582337416</v>
      </c>
      <c r="D12" s="69">
        <f>[1]Check!$H$30</f>
        <v>49620.738999999994</v>
      </c>
      <c r="E12" s="40">
        <f>IF(D12=0,0,D12/$D$13)</f>
        <v>0.33704625941959598</v>
      </c>
      <c r="F12" s="69">
        <f>[1]Check!$H$31</f>
        <v>3637.17</v>
      </c>
      <c r="G12" s="40">
        <f>IF(F12=0,0,F12/$F$13)</f>
        <v>4.4839926355989941E-2</v>
      </c>
      <c r="H12" s="102">
        <f>IF(B12+D12+F12=0,0,B12+D12+F12)</f>
        <v>164904.87300000002</v>
      </c>
      <c r="I12" s="40">
        <f>IF(H12=0,0,H12/$H$13)</f>
        <v>0.42445804313373725</v>
      </c>
    </row>
    <row r="13" spans="1:15" ht="18" customHeight="1">
      <c r="A13" s="107" t="s">
        <v>6</v>
      </c>
      <c r="B13" s="42">
        <f>SUM(B11:B12)</f>
        <v>160170.00700000004</v>
      </c>
      <c r="C13" s="43"/>
      <c r="D13" s="42">
        <f>SUM(D11:D12)</f>
        <v>147222.34000000008</v>
      </c>
      <c r="E13" s="43"/>
      <c r="F13" s="42">
        <f>SUM(F11:F12)</f>
        <v>81114.539999999994</v>
      </c>
      <c r="G13" s="43"/>
      <c r="H13" s="42">
        <f>IF(H11+H12=0,0,H11+H12)</f>
        <v>388506.8870000001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223,602 MWh, or 57.6%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164,905 MHh, or 42.4%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84923</v>
      </c>
      <c r="C20" s="40">
        <f>IF(B20=0,0,B20/$B$22)</f>
        <v>0.28039052543301834</v>
      </c>
      <c r="D20" s="68">
        <f>[2]Summary!$B$19</f>
        <v>19577</v>
      </c>
      <c r="E20" s="53">
        <f>IF(D20=0,0,D20/$D$22)</f>
        <v>0.51759511408402292</v>
      </c>
      <c r="F20" s="68">
        <f>[2]Summary!$B$20</f>
        <v>204</v>
      </c>
      <c r="G20" s="40">
        <f>IF(F20=0,0,F20/$F$22)</f>
        <v>0.91479820627802688</v>
      </c>
      <c r="H20" s="41">
        <f>IF(B20+D20+F20=0,0,B20+D20+F20)</f>
        <v>104704</v>
      </c>
      <c r="I20" s="40">
        <f>IF(H20=0,0,H20/$H$22)</f>
        <v>0.30712190543235951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217951</v>
      </c>
      <c r="C21" s="40">
        <f>IF(B21=0,0,B21/$B$22)</f>
        <v>0.71960947456698166</v>
      </c>
      <c r="D21" s="69">
        <f>[2]Summary!$B$23</f>
        <v>18246</v>
      </c>
      <c r="E21" s="53">
        <f>IF(D21=0,0,D21/$D$22)</f>
        <v>0.48240488591597708</v>
      </c>
      <c r="F21" s="69">
        <f>[2]Summary!$B$24</f>
        <v>19</v>
      </c>
      <c r="G21" s="40">
        <f>IF(F21=0,0,F21/$F$22)</f>
        <v>8.520179372197309E-2</v>
      </c>
      <c r="H21" s="69">
        <f>IF(B21+D21+F21=0,0,B21+D21+F21)</f>
        <v>236216</v>
      </c>
      <c r="I21" s="40">
        <f>IF(H21=0,0,H21/$H$22)</f>
        <v>0.69287809456764049</v>
      </c>
    </row>
    <row r="22" spans="1:17" ht="18" customHeight="1">
      <c r="A22" s="39" t="str">
        <f>A13</f>
        <v>Total</v>
      </c>
      <c r="B22" s="42">
        <f>SUM(B20:B21)</f>
        <v>302874</v>
      </c>
      <c r="C22" s="55"/>
      <c r="D22" s="42">
        <f>SUM(D20:D21)</f>
        <v>37823</v>
      </c>
      <c r="E22" s="43"/>
      <c r="F22" s="42">
        <f>SUM(F20:F21)</f>
        <v>223</v>
      </c>
      <c r="G22" s="43"/>
      <c r="H22" s="42">
        <f>IF(H20+H21=0,0,H20+H21)</f>
        <v>340920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104,704 of UI's total customers, or 30.7%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236,216 or 69.3%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showZeros="0" zoomScaleNormal="100" workbookViewId="0">
      <selection activeCell="D16" sqref="D16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February 29,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t="s">
        <v>50</v>
      </c>
      <c r="C9" s="115">
        <v>9982</v>
      </c>
      <c r="D9" s="117">
        <v>753</v>
      </c>
      <c r="E9" s="119">
        <v>10735</v>
      </c>
      <c r="F9" s="21">
        <f t="shared" ref="F9:F43" si="0">IF(E9=0,"",E9/$E$44)</f>
        <v>0.10254671200947614</v>
      </c>
    </row>
    <row r="10" spans="1:11" ht="14.25" customHeight="1">
      <c r="A10" s="105">
        <v>2</v>
      </c>
      <c r="B10" t="s">
        <v>58</v>
      </c>
      <c r="C10" s="116">
        <v>17</v>
      </c>
      <c r="D10" s="118">
        <v>3136</v>
      </c>
      <c r="E10" s="120">
        <v>3153</v>
      </c>
      <c r="F10" s="21">
        <f t="shared" si="0"/>
        <v>3.0119215926024991E-2</v>
      </c>
    </row>
    <row r="11" spans="1:11" ht="14.25" customHeight="1">
      <c r="A11" s="105">
        <v>3</v>
      </c>
      <c r="B11" t="s">
        <v>59</v>
      </c>
      <c r="C11" s="116">
        <v>15</v>
      </c>
      <c r="D11" s="118">
        <v>198</v>
      </c>
      <c r="E11" s="120">
        <v>213</v>
      </c>
      <c r="F11" s="21">
        <f t="shared" si="0"/>
        <v>2.034694891291888E-3</v>
      </c>
    </row>
    <row r="12" spans="1:11" ht="14.25" customHeight="1">
      <c r="A12" s="105">
        <v>4</v>
      </c>
      <c r="B12" t="s">
        <v>60</v>
      </c>
      <c r="C12" s="116">
        <v>493</v>
      </c>
      <c r="D12" s="118">
        <v>13</v>
      </c>
      <c r="E12" s="120">
        <v>506</v>
      </c>
      <c r="F12" s="21">
        <f t="shared" si="0"/>
        <v>4.8335944365901192E-3</v>
      </c>
    </row>
    <row r="13" spans="1:11" ht="14.25" customHeight="1">
      <c r="A13" s="105">
        <v>5</v>
      </c>
      <c r="B13" t="s">
        <v>61</v>
      </c>
      <c r="C13" s="116">
        <v>7092</v>
      </c>
      <c r="D13" s="118">
        <v>236</v>
      </c>
      <c r="E13" s="120">
        <v>7328</v>
      </c>
      <c r="F13" s="21">
        <f t="shared" si="0"/>
        <v>7.000114630698101E-2</v>
      </c>
    </row>
    <row r="14" spans="1:11" ht="14.25" customHeight="1">
      <c r="A14" s="105">
        <v>6</v>
      </c>
      <c r="B14" t="s">
        <v>62</v>
      </c>
      <c r="C14" s="116">
        <v>462</v>
      </c>
      <c r="D14" s="118">
        <v>85</v>
      </c>
      <c r="E14" s="120">
        <v>547</v>
      </c>
      <c r="F14" s="21">
        <f t="shared" si="0"/>
        <v>5.2252493217683693E-3</v>
      </c>
    </row>
    <row r="15" spans="1:11" ht="14.25" customHeight="1">
      <c r="A15" s="105">
        <v>7</v>
      </c>
      <c r="B15" t="s">
        <v>63</v>
      </c>
      <c r="C15" s="116">
        <v>776</v>
      </c>
      <c r="D15" s="118">
        <v>4735</v>
      </c>
      <c r="E15" s="120">
        <v>5511</v>
      </c>
      <c r="F15" s="21">
        <f t="shared" si="0"/>
        <v>5.264414810286195E-2</v>
      </c>
    </row>
    <row r="16" spans="1:11" ht="14.25" customHeight="1">
      <c r="A16" s="105">
        <v>8</v>
      </c>
      <c r="B16" t="s">
        <v>64</v>
      </c>
      <c r="C16" s="116">
        <v>8188</v>
      </c>
      <c r="D16" s="118">
        <v>1484</v>
      </c>
      <c r="E16" s="120">
        <v>9672</v>
      </c>
      <c r="F16" s="21">
        <f t="shared" si="0"/>
        <v>9.2392342669366856E-2</v>
      </c>
    </row>
    <row r="17" spans="1:6" ht="14.25" customHeight="1">
      <c r="A17" s="105">
        <v>9</v>
      </c>
      <c r="B17" t="s">
        <v>56</v>
      </c>
      <c r="C17" s="116">
        <v>208</v>
      </c>
      <c r="D17" s="118">
        <v>1391</v>
      </c>
      <c r="E17" s="120">
        <v>1599</v>
      </c>
      <c r="F17" s="21">
        <f t="shared" si="0"/>
        <v>1.5274540521951778E-2</v>
      </c>
    </row>
    <row r="18" spans="1:6" ht="14.25" customHeight="1">
      <c r="A18" s="105">
        <v>10</v>
      </c>
      <c r="B18" t="s">
        <v>65</v>
      </c>
      <c r="C18" s="116">
        <v>6093</v>
      </c>
      <c r="D18" s="118">
        <v>1637</v>
      </c>
      <c r="E18" s="120">
        <v>7730</v>
      </c>
      <c r="F18" s="21">
        <f t="shared" si="0"/>
        <v>7.3841274693362879E-2</v>
      </c>
    </row>
    <row r="19" spans="1:6" ht="14.25" customHeight="1">
      <c r="A19" s="105">
        <v>11</v>
      </c>
      <c r="B19" t="s">
        <v>66</v>
      </c>
      <c r="C19" s="116">
        <v>2972</v>
      </c>
      <c r="D19" s="118">
        <v>295</v>
      </c>
      <c r="E19" s="120">
        <v>3267</v>
      </c>
      <c r="F19" s="21">
        <f t="shared" si="0"/>
        <v>3.1208207557984029E-2</v>
      </c>
    </row>
    <row r="20" spans="1:6" ht="14.25" customHeight="1">
      <c r="A20" s="105">
        <v>12</v>
      </c>
      <c r="B20" t="s">
        <v>67</v>
      </c>
      <c r="C20" s="116">
        <v>500</v>
      </c>
      <c r="D20" s="118">
        <v>214</v>
      </c>
      <c r="E20" s="120">
        <v>714</v>
      </c>
      <c r="F20" s="21">
        <f t="shared" si="0"/>
        <v>6.8205265370066106E-3</v>
      </c>
    </row>
    <row r="21" spans="1:6" ht="14.25" customHeight="1">
      <c r="A21" s="105">
        <v>13</v>
      </c>
      <c r="B21" t="s">
        <v>68</v>
      </c>
      <c r="C21" s="116">
        <v>4</v>
      </c>
      <c r="D21" s="118">
        <v>4</v>
      </c>
      <c r="E21" s="120">
        <v>8</v>
      </c>
      <c r="F21" s="21">
        <f t="shared" si="0"/>
        <v>7.6420465400634294E-5</v>
      </c>
    </row>
    <row r="22" spans="1:6" ht="14.25" customHeight="1">
      <c r="A22" s="105">
        <v>14</v>
      </c>
      <c r="B22" t="s">
        <v>69</v>
      </c>
      <c r="C22" s="116">
        <v>414</v>
      </c>
      <c r="D22" s="118">
        <v>86</v>
      </c>
      <c r="E22" s="120">
        <v>500</v>
      </c>
      <c r="F22" s="21">
        <f t="shared" si="0"/>
        <v>4.7762790875396435E-3</v>
      </c>
    </row>
    <row r="23" spans="1:6" ht="14.25" customHeight="1">
      <c r="A23" s="105">
        <v>15</v>
      </c>
      <c r="B23" t="s">
        <v>70</v>
      </c>
      <c r="C23" s="116">
        <v>45</v>
      </c>
      <c r="D23" s="118">
        <v>1</v>
      </c>
      <c r="E23" s="120">
        <v>46</v>
      </c>
      <c r="F23" s="21">
        <f t="shared" si="0"/>
        <v>4.3941767605364714E-4</v>
      </c>
    </row>
    <row r="24" spans="1:6" ht="14.25" customHeight="1">
      <c r="A24" s="105">
        <v>16</v>
      </c>
      <c r="B24" t="s">
        <v>71</v>
      </c>
      <c r="C24" s="116">
        <v>780</v>
      </c>
      <c r="D24" s="118">
        <v>1306</v>
      </c>
      <c r="E24" s="120">
        <v>2086</v>
      </c>
      <c r="F24" s="21">
        <f t="shared" si="0"/>
        <v>1.9926636353215392E-2</v>
      </c>
    </row>
    <row r="25" spans="1:6" ht="14.25" customHeight="1">
      <c r="A25" s="105">
        <v>17</v>
      </c>
      <c r="B25" t="s">
        <v>72</v>
      </c>
      <c r="C25" s="116">
        <v>93</v>
      </c>
      <c r="D25" s="118">
        <v>78</v>
      </c>
      <c r="E25" s="120">
        <v>171</v>
      </c>
      <c r="F25" s="21">
        <f t="shared" si="0"/>
        <v>1.6334874479385579E-3</v>
      </c>
    </row>
    <row r="26" spans="1:6" ht="14.25" customHeight="1">
      <c r="A26" s="105">
        <v>18</v>
      </c>
      <c r="B26" t="s">
        <v>12</v>
      </c>
      <c r="C26" s="116">
        <v>6460</v>
      </c>
      <c r="D26" s="118">
        <v>753</v>
      </c>
      <c r="E26" s="120">
        <v>7213</v>
      </c>
      <c r="F26" s="21">
        <f t="shared" si="0"/>
        <v>6.8902602116846887E-2</v>
      </c>
    </row>
    <row r="27" spans="1:6" ht="14.25" customHeight="1">
      <c r="A27" s="105">
        <v>19</v>
      </c>
      <c r="B27" t="s">
        <v>73</v>
      </c>
      <c r="C27" s="116">
        <v>788</v>
      </c>
      <c r="D27" s="118">
        <v>28</v>
      </c>
      <c r="E27" s="120">
        <v>816</v>
      </c>
      <c r="F27" s="21">
        <f t="shared" si="0"/>
        <v>7.7948874708646974E-3</v>
      </c>
    </row>
    <row r="28" spans="1:6" ht="14.25" customHeight="1">
      <c r="A28" s="105">
        <v>20</v>
      </c>
      <c r="B28" t="s">
        <v>74</v>
      </c>
      <c r="C28" s="116">
        <v>160</v>
      </c>
      <c r="D28" s="118">
        <v>113</v>
      </c>
      <c r="E28" s="120">
        <v>273</v>
      </c>
      <c r="F28" s="21">
        <f t="shared" si="0"/>
        <v>2.6078483817966449E-3</v>
      </c>
    </row>
    <row r="29" spans="1:6" ht="14.25" customHeight="1">
      <c r="A29" s="105">
        <v>21</v>
      </c>
      <c r="B29" t="s">
        <v>75</v>
      </c>
      <c r="C29" s="116">
        <v>7</v>
      </c>
      <c r="D29" s="118"/>
      <c r="E29" s="120">
        <v>7</v>
      </c>
      <c r="F29" s="21">
        <f t="shared" si="0"/>
        <v>6.6867907225554997E-5</v>
      </c>
    </row>
    <row r="30" spans="1:6" ht="14.25" customHeight="1">
      <c r="A30" s="105">
        <v>22</v>
      </c>
      <c r="B30" t="s">
        <v>76</v>
      </c>
      <c r="C30" s="116">
        <v>126</v>
      </c>
      <c r="D30" s="118">
        <v>256</v>
      </c>
      <c r="E30" s="120">
        <v>382</v>
      </c>
      <c r="F30" s="21">
        <f t="shared" si="0"/>
        <v>3.6490772228802873E-3</v>
      </c>
    </row>
    <row r="31" spans="1:6" ht="14.25" customHeight="1">
      <c r="A31" s="105">
        <v>23</v>
      </c>
      <c r="B31" t="s">
        <v>77</v>
      </c>
      <c r="C31" s="116">
        <v>6931</v>
      </c>
      <c r="D31" s="118">
        <v>195</v>
      </c>
      <c r="E31" s="120">
        <v>7126</v>
      </c>
      <c r="F31" s="21">
        <f t="shared" si="0"/>
        <v>6.807152955561499E-2</v>
      </c>
    </row>
    <row r="32" spans="1:6" ht="14.25" customHeight="1">
      <c r="A32" s="105">
        <v>24</v>
      </c>
      <c r="B32" t="s">
        <v>78</v>
      </c>
      <c r="C32" s="116">
        <v>875</v>
      </c>
      <c r="D32" s="118">
        <v>232</v>
      </c>
      <c r="E32" s="120">
        <v>1107</v>
      </c>
      <c r="F32" s="21">
        <f t="shared" si="0"/>
        <v>1.057468189981277E-2</v>
      </c>
    </row>
    <row r="33" spans="1:10" ht="14.25" customHeight="1">
      <c r="A33" s="105">
        <v>25</v>
      </c>
      <c r="B33" t="s">
        <v>79</v>
      </c>
      <c r="C33" s="116">
        <v>4911</v>
      </c>
      <c r="D33" s="118">
        <v>821</v>
      </c>
      <c r="E33" s="120">
        <v>5732</v>
      </c>
      <c r="F33" s="21">
        <f t="shared" si="0"/>
        <v>5.4755263459554469E-2</v>
      </c>
    </row>
    <row r="34" spans="1:10" ht="14.25" customHeight="1">
      <c r="A34" s="105">
        <v>26</v>
      </c>
      <c r="B34" t="s">
        <v>80</v>
      </c>
      <c r="C34" s="116">
        <v>221</v>
      </c>
      <c r="D34" s="118">
        <v>93</v>
      </c>
      <c r="E34" s="120">
        <v>314</v>
      </c>
      <c r="F34" s="21">
        <f t="shared" si="0"/>
        <v>2.9995032669748959E-3</v>
      </c>
    </row>
    <row r="35" spans="1:10" ht="14.25" customHeight="1">
      <c r="A35" s="105">
        <v>27</v>
      </c>
      <c r="B35" t="s">
        <v>81</v>
      </c>
      <c r="C35" s="116">
        <v>3822</v>
      </c>
      <c r="D35" s="118">
        <v>231</v>
      </c>
      <c r="E35" s="120">
        <v>4053</v>
      </c>
      <c r="F35" s="21">
        <f t="shared" si="0"/>
        <v>3.8716518283596346E-2</v>
      </c>
    </row>
    <row r="36" spans="1:10" ht="14.25" customHeight="1">
      <c r="A36" s="105">
        <v>28</v>
      </c>
      <c r="B36" t="s">
        <v>82</v>
      </c>
      <c r="C36" s="116">
        <v>1042</v>
      </c>
      <c r="D36" s="118">
        <v>217</v>
      </c>
      <c r="E36" s="120">
        <v>1259</v>
      </c>
      <c r="F36" s="21">
        <f t="shared" si="0"/>
        <v>1.2026670742424821E-2</v>
      </c>
    </row>
    <row r="37" spans="1:10" ht="14.25" customHeight="1">
      <c r="A37" s="105">
        <v>29</v>
      </c>
      <c r="B37" t="s">
        <v>83</v>
      </c>
      <c r="C37" s="116"/>
      <c r="D37" s="118">
        <v>12</v>
      </c>
      <c r="E37" s="120">
        <v>12</v>
      </c>
      <c r="F37" s="21">
        <f t="shared" si="0"/>
        <v>1.1463069810095144E-4</v>
      </c>
    </row>
    <row r="38" spans="1:10" ht="14.25" customHeight="1">
      <c r="A38" s="105">
        <v>30</v>
      </c>
      <c r="B38" t="s">
        <v>54</v>
      </c>
      <c r="C38" s="116">
        <v>2140</v>
      </c>
      <c r="D38" s="118">
        <v>95</v>
      </c>
      <c r="E38" s="120">
        <v>2235</v>
      </c>
      <c r="F38" s="21">
        <f t="shared" si="0"/>
        <v>2.1349967521302204E-2</v>
      </c>
    </row>
    <row r="39" spans="1:10" ht="14.25" customHeight="1">
      <c r="A39" s="105">
        <v>31</v>
      </c>
      <c r="B39" t="s">
        <v>84</v>
      </c>
      <c r="C39" s="116">
        <v>10661</v>
      </c>
      <c r="D39" s="118">
        <v>214</v>
      </c>
      <c r="E39" s="120">
        <v>10875</v>
      </c>
      <c r="F39" s="21">
        <f t="shared" si="0"/>
        <v>0.10388407015398723</v>
      </c>
    </row>
    <row r="40" spans="1:10" ht="14.25" customHeight="1">
      <c r="A40" s="105">
        <v>32</v>
      </c>
      <c r="B40" t="s">
        <v>85</v>
      </c>
      <c r="C40" s="116">
        <v>5322</v>
      </c>
      <c r="D40" s="118">
        <v>405</v>
      </c>
      <c r="E40" s="120">
        <v>5727</v>
      </c>
      <c r="F40" s="21">
        <f t="shared" si="0"/>
        <v>5.470750066867907E-2</v>
      </c>
    </row>
    <row r="41" spans="1:10" ht="14.25" customHeight="1">
      <c r="A41" s="105">
        <v>33</v>
      </c>
      <c r="B41" t="s">
        <v>86</v>
      </c>
      <c r="C41" s="116">
        <v>489</v>
      </c>
      <c r="D41" s="118">
        <v>83</v>
      </c>
      <c r="E41" s="120">
        <v>572</v>
      </c>
      <c r="F41" s="21">
        <f t="shared" si="0"/>
        <v>5.4640632761453522E-3</v>
      </c>
    </row>
    <row r="42" spans="1:10" ht="14.25" customHeight="1">
      <c r="A42" s="105">
        <v>34</v>
      </c>
      <c r="B42" t="s">
        <v>88</v>
      </c>
      <c r="C42" s="116">
        <v>31</v>
      </c>
      <c r="D42" s="118">
        <v>16</v>
      </c>
      <c r="E42" s="120">
        <v>47</v>
      </c>
      <c r="F42" s="21">
        <f t="shared" si="0"/>
        <v>4.4897023422872645E-4</v>
      </c>
    </row>
    <row r="43" spans="1:10" ht="14.25" customHeight="1">
      <c r="A43" s="105">
        <v>35</v>
      </c>
      <c r="B43" t="s">
        <v>87</v>
      </c>
      <c r="C43" s="116">
        <v>2803</v>
      </c>
      <c r="D43" s="118">
        <v>345</v>
      </c>
      <c r="E43" s="120">
        <v>3148</v>
      </c>
      <c r="F43" s="21">
        <f t="shared" si="0"/>
        <v>3.0071453135149594E-2</v>
      </c>
    </row>
    <row r="44" spans="1:10">
      <c r="A44" s="105"/>
      <c r="B44" s="108" t="s">
        <v>57</v>
      </c>
      <c r="C44" s="112">
        <v>84923</v>
      </c>
      <c r="D44" s="113">
        <v>19761</v>
      </c>
      <c r="E44" s="114">
        <v>104684</v>
      </c>
      <c r="F44" s="21">
        <f>SUM(F9:F43)</f>
        <v>0.99999999999999989</v>
      </c>
      <c r="G44" s="109"/>
    </row>
    <row r="45" spans="1:10">
      <c r="A45" s="106"/>
    </row>
    <row r="46" spans="1:10">
      <c r="A46" s="1" t="s">
        <v>22</v>
      </c>
      <c r="B46" s="103"/>
    </row>
    <row r="47" spans="1:10">
      <c r="A47" s="1" t="s">
        <v>21</v>
      </c>
      <c r="J47" s="104"/>
    </row>
    <row r="48" spans="1:10">
      <c r="A48" s="1" t="s">
        <v>17</v>
      </c>
    </row>
  </sheetData>
  <sortState ref="B9:E49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February 29,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3181</v>
      </c>
      <c r="C13" s="43">
        <f>IF(B13=0,0,B13/'Summary Load Customers '!$B$22)</f>
        <v>1.0502717301584157E-2</v>
      </c>
      <c r="D13" s="42">
        <f>REC_programs_detail!C23</f>
        <v>34</v>
      </c>
      <c r="E13" s="43">
        <f>IF(D13=0,0,D13/('Summary Load Customers '!$D$22+'Summary Load Customers '!$F$22))</f>
        <v>8.9365504915102768E-4</v>
      </c>
      <c r="F13" s="42">
        <f>B13+D13</f>
        <v>3215</v>
      </c>
      <c r="G13" s="43">
        <f>IF(F13=0,0,F13/'Summary Load Customers '!$H$22)</f>
        <v>9.4303648949900266E-3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3,215 of UI's customers, or 0.9%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592</v>
      </c>
      <c r="C20" s="43">
        <f>IF(B20=0,0,B20/'Summary Load Customers '!$B$22)</f>
        <v>1.9546081869028045E-3</v>
      </c>
      <c r="D20" s="42">
        <f>REC_programs_detail!C29</f>
        <v>57</v>
      </c>
      <c r="E20" s="43">
        <f>IF(D20=0,0,D20/('Summary Load Customers '!$D$22+'Summary Load Customers '!$F$22))</f>
        <v>1.4981864059296641E-3</v>
      </c>
      <c r="F20" s="42">
        <f>B20+D20</f>
        <v>649</v>
      </c>
      <c r="G20" s="43">
        <f>IF(F20=0,0,F20/'Summary Load Customers '!$H$22)</f>
        <v>1.9036724158160271E-3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0,649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3773</v>
      </c>
      <c r="C27" s="43">
        <f>IF(B27=0,0,B27/'Summary Load Customers '!$B$22)</f>
        <v>1.2457325488486961E-2</v>
      </c>
      <c r="D27" s="42">
        <f>D13+D20</f>
        <v>91</v>
      </c>
      <c r="E27" s="43">
        <f>IF(D27=0,0,D27/('Summary Load Customers '!$D$22+'Summary Load Customers '!$F$22))</f>
        <v>2.3918414550806919E-3</v>
      </c>
      <c r="F27" s="42">
        <f>B27+D27</f>
        <v>3864</v>
      </c>
      <c r="G27" s="43">
        <f>IF(F27=0,0,F27/'Summary Load Customers '!$H$22)</f>
        <v>1.1334037310806054E-2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3,864 of UI's customers, or 1.1%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29" sqref="C2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February 29, 2020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116</v>
      </c>
      <c r="C9" s="84">
        <v>2</v>
      </c>
      <c r="D9" s="85">
        <f>SUM(B9:C9)</f>
        <v>118</v>
      </c>
      <c r="E9" s="87"/>
      <c r="F9" s="87"/>
      <c r="G9" s="86"/>
      <c r="H9" s="75"/>
    </row>
    <row r="10" spans="1:9">
      <c r="A10" s="82" t="s">
        <v>15</v>
      </c>
      <c r="B10" s="84">
        <v>2609</v>
      </c>
      <c r="C10" s="84">
        <v>31</v>
      </c>
      <c r="D10" s="85">
        <f>SUM(B10:C10)</f>
        <v>2640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2725</v>
      </c>
      <c r="C11" s="91">
        <f>IF(SUM(C8:C10)=0,0,SUM(C8:C10))</f>
        <v>33</v>
      </c>
      <c r="D11" s="91">
        <f>IF(SUM(D8:D10)=0,0,SUM(D8:D10))</f>
        <v>2758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454</v>
      </c>
      <c r="C16" s="84">
        <v>1</v>
      </c>
      <c r="D16" s="85">
        <f>SUM(B16:C16)</f>
        <v>455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456</v>
      </c>
      <c r="C17" s="91">
        <f>IF(SUM(C14:C16)=0,0,SUM(C14:C16))</f>
        <v>1</v>
      </c>
      <c r="D17" s="91">
        <f>IF(SUM(D14:D16)=0,0,SUM(D14:D16))</f>
        <v>457</v>
      </c>
      <c r="E17" s="88"/>
      <c r="F17" s="89"/>
      <c r="G17" s="86"/>
      <c r="H17" s="75"/>
    </row>
    <row r="18" spans="1:8">
      <c r="A18" s="75"/>
      <c r="B18" s="75"/>
      <c r="C18" s="75"/>
      <c r="D18" s="98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118</v>
      </c>
      <c r="C21" s="96">
        <f>IF(C9+C15=0,0,C9+C15)</f>
        <v>2</v>
      </c>
      <c r="D21" s="85">
        <f t="shared" si="0"/>
        <v>120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3063</v>
      </c>
      <c r="C22" s="96">
        <f>IF(C10+C16=0,0,C10+C16)</f>
        <v>32</v>
      </c>
      <c r="D22" s="85">
        <f>IF(D10+D16=0,0,D10+D16)</f>
        <v>3095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3181</v>
      </c>
      <c r="C23" s="91">
        <f>IF(SUM(C20:C22)=0,0,SUM(C20:C22))</f>
        <v>34</v>
      </c>
      <c r="D23" s="91">
        <f>SUM(D20:D22)</f>
        <v>3215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177</v>
      </c>
      <c r="C27" s="84">
        <v>11</v>
      </c>
      <c r="D27" s="85">
        <f>SUM(B27:C27)</f>
        <v>188</v>
      </c>
    </row>
    <row r="28" spans="1:8">
      <c r="A28" s="82" t="s">
        <v>15</v>
      </c>
      <c r="B28" s="84">
        <v>415</v>
      </c>
      <c r="C28" s="84">
        <v>46</v>
      </c>
      <c r="D28" s="85">
        <f>SUM(B28:C28)</f>
        <v>461</v>
      </c>
    </row>
    <row r="29" spans="1:8">
      <c r="A29" s="90" t="str">
        <f>A23</f>
        <v>Total</v>
      </c>
      <c r="B29" s="110">
        <f>IF(B27+B28=0,0,B27+B28)</f>
        <v>592</v>
      </c>
      <c r="C29" s="91">
        <f>IF(SUM(C26:C28)=0,0,SUM(C26:C28))</f>
        <v>57</v>
      </c>
      <c r="D29" s="91">
        <f>IF(SUM(D26:D28)=0,0,SUM(D26:D28))</f>
        <v>649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295</v>
      </c>
      <c r="C33" s="96">
        <f t="shared" si="1"/>
        <v>13</v>
      </c>
      <c r="D33" s="85">
        <f t="shared" si="1"/>
        <v>308</v>
      </c>
      <c r="E33" s="75"/>
      <c r="F33" s="75"/>
      <c r="G33" s="75"/>
    </row>
    <row r="34" spans="1:7">
      <c r="A34" s="82" t="s">
        <v>15</v>
      </c>
      <c r="B34" s="96">
        <f>B22+B28</f>
        <v>3478</v>
      </c>
      <c r="C34" s="96">
        <f t="shared" si="1"/>
        <v>78</v>
      </c>
      <c r="D34" s="85">
        <f t="shared" si="1"/>
        <v>3556</v>
      </c>
    </row>
    <row r="35" spans="1:7">
      <c r="A35" s="90" t="str">
        <f>A29</f>
        <v>Total</v>
      </c>
      <c r="B35" s="91">
        <f>IF(B33+B34=0,0,B33+B34)</f>
        <v>3773</v>
      </c>
      <c r="C35" s="91">
        <f>IF(SUM(C32:C34)=0,0,SUM(C32:C34))</f>
        <v>91</v>
      </c>
      <c r="D35" s="91">
        <f>SUM(D32:D34)</f>
        <v>3864</v>
      </c>
    </row>
    <row r="37" spans="1:7">
      <c r="A37" s="97" t="str">
        <f>"In summary, "&amp;TEXT($D$23,"0,000")&amp; " of UI's customers are participating in the CTCleanEnergyOptions Program"</f>
        <v>In summary, 3,215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649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3,864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2020-03-26T15:05:18Z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