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03\"/>
    </mc:Choice>
  </mc:AlternateContent>
  <xr:revisionPtr revIDLastSave="0" documentId="10_ncr:100000_{DE750D3A-C24A-4338-A781-E0E485FDD74B}" xr6:coauthVersionLast="31" xr6:coauthVersionMax="31" xr10:uidLastSave="{00000000-0000-0000-0000-000000000000}"/>
  <bookViews>
    <workbookView xWindow="0" yWindow="0" windowWidth="16875" windowHeight="490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47" i="6" l="1"/>
  <c r="F44" i="6"/>
  <c r="F45" i="6"/>
  <c r="F46" i="6"/>
  <c r="F21" i="7" l="1"/>
  <c r="D21" i="7"/>
  <c r="B21" i="7"/>
  <c r="F20" i="7"/>
  <c r="D20" i="7"/>
  <c r="B20" i="7"/>
  <c r="F12" i="7"/>
  <c r="D12" i="7"/>
  <c r="F11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<sst xmlns="http://schemas.openxmlformats.org/spreadsheetml/2006/main" count="160" uniqueCount="94">
  <si>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</si>
  <si>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</si>
  <si>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</si>
  <si>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</si>
  <si>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</si>
  <si>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</si>
  <si>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</si>
  <si>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</si>
  <si>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</si>
  <si>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</si>
  <si>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</si>
  <si>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</si>
  <si>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</si>
  <si>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</si>
  <si>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</si>
  <si>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</si>
  <si>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</si>
  <si>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</si>
  <si>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</si>
  <si>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</si>
  <si>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</si>
  <si>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</si>
  <si>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</si>
  <si>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</si>
  <si>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</si>
  <si>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</si>
  <si>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</si>
  <si>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</si>
  <si>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</si>
  <si>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</si>
  <si>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</si>
  <si>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</si>
  <si>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</si>
  <si>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</si>
  <si>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</si>
  <si>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</si>
  <si>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</si>
  <si>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</si>
  <si>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</si>
  <si>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</si>
  <si>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</si>
  <si>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</si>
  <si>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</si>
  <si>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</si>
  <si>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</si>
  <si>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</si>
  <si>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</si>
  <si>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</si>
  <si>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</si>
  <si>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</si>
  <si>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</si>
  <si>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</si>
  <si>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</si>
  <si>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</si>
  <si>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</si>
  <si>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</si>
  <si>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</si>
  <si>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</si>
  <si>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</si>
  <si>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</si>
  <si>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</si>
  <si>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</si>
  <si>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</si>
  <si>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</si>
  <si>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</si>
  <si>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</si>
  <si>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</si>
  <si>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</si>
  <si>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</si>
  <si>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</si>
  <si>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</si>
  <si>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</si>
  <si>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</si>
  <si>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</si>
  <si>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</si>
  <si>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</si>
  <si>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</si>
  <si>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</si>
  <si>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</si>
  <si>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</si>
  <si>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</si>
  <si>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</si>
  <si>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</si>
  <si>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</si>
  <si>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</si>
  <si>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</si>
  <si>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</si>
  <si>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</si>
  <si>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</si>
  <si>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</si>
  <si>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March 31, 2020</t>
  </si>
  <si>
    <t>Aequitas Energy, Inc</t>
  </si>
  <si>
    <t>Agera Energy, LLC</t>
  </si>
  <si>
    <t>Perigee Energy,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</si>
</sst>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03_Marc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03_March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45960.105000000018</v>
          </cell>
        </row>
        <row r="25">
          <cell r="H25">
            <v>107581.56700000007</v>
          </cell>
        </row>
        <row r="26">
          <cell r="H26">
            <v>68035.097999999998</v>
          </cell>
        </row>
        <row r="29">
          <cell r="H29">
            <v>106502.318</v>
          </cell>
        </row>
        <row r="30">
          <cell r="H30">
            <v>49029.452999999994</v>
          </cell>
        </row>
        <row r="31">
          <cell r="H31">
            <v>3987.9840000000004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B18">
            <v>90863</v>
          </cell>
        </row>
        <row r="19">
          <cell r="B19">
            <v>19746</v>
          </cell>
        </row>
        <row r="20">
          <cell r="B20">
            <v>199</v>
          </cell>
        </row>
        <row r="22">
          <cell r="B22">
            <v>210006</v>
          </cell>
        </row>
        <row r="23">
          <cell r="B23">
            <v>18042</v>
          </cell>
        </row>
        <row r="24">
          <cell r="B24">
            <v>26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B20" sqref="B20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90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45960.105000000018</v>
      </c>
      <c r="C11" s="40">
        <f>IF(B11=0,0,B11/$B$13)</f>
        <v>0.3014520174587545</v>
      </c>
      <c r="D11" s="68">
        <f>[1]Check!$H$25</f>
        <v>107581.56700000007</v>
      </c>
      <c r="E11" s="40">
        <f>IF(D11=0,0,D11/$D$13)</f>
        <v>0.68693484660274873</v>
      </c>
      <c r="F11" s="68">
        <f>[1]Check!$H$26</f>
        <v>68035.097999999998</v>
      </c>
      <c r="G11" s="40">
        <f>IF(F11=0,0,F11/$F$13)</f>
        <v>0.94462908432604986</v>
      </c>
      <c r="H11" s="41">
        <f>IF(B11+D11+F11=0,0,B11+D11+F11)</f>
        <v>221576.77000000008</v>
      </c>
      <c r="I11" s="40">
        <f>IF(H11=0,0,H11/$H$13)</f>
        <v>0.58141902500947762</v>
      </c>
    </row>
    <row r="12" spans="1:15" ht="18" customHeight="1" x14ac:dyDescent="0.2">
      <c r="A12" s="39" t="s">
        <v>11</v>
      </c>
      <c r="B12" s="69">
        <f>[1]Check!$H$29</f>
        <v>106502.318</v>
      </c>
      <c r="C12" s="40">
        <f>IF(B12=0,0,B12/$B$13)</f>
        <v>0.6985479825412455</v>
      </c>
      <c r="D12" s="69">
        <f>[1]Check!$H$30</f>
        <v>49029.452999999994</v>
      </c>
      <c r="E12" s="40">
        <f>IF(D12=0,0,D12/$D$13)</f>
        <v>0.31306515339725116</v>
      </c>
      <c r="F12" s="69">
        <f>[1]Check!$H$31</f>
        <v>3987.9840000000004</v>
      </c>
      <c r="G12" s="40">
        <f>IF(F12=0,0,F12/$F$13)</f>
        <v>5.5370915673950201E-2</v>
      </c>
      <c r="H12" s="102">
        <f>IF(B12+D12+F12=0,0,B12+D12+F12)</f>
        <v>159519.755</v>
      </c>
      <c r="I12" s="40">
        <f>IF(H12=0,0,H12/$H$13)</f>
        <v>0.41858097499052233</v>
      </c>
    </row>
    <row r="13" spans="1:15" ht="18" customHeight="1" x14ac:dyDescent="0.2">
      <c r="A13" s="107" t="s">
        <v>6</v>
      </c>
      <c r="B13" s="42">
        <f>SUM(B11:B12)</f>
        <v>152462.42300000001</v>
      </c>
      <c r="C13" s="43"/>
      <c r="D13" s="42">
        <f>SUM(D11:D12)</f>
        <v>156611.02000000008</v>
      </c>
      <c r="E13" s="43"/>
      <c r="F13" s="42">
        <f>SUM(F11:F12)</f>
        <v>72023.081999999995</v>
      </c>
      <c r="G13" s="43"/>
      <c r="H13" s="42">
        <f>IF(H11+H12=0,0,H11+H12)</f>
        <v>381096.52500000008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221,577 MWh, or 58.1%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159,520 MHh, or 41.9%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90863</v>
      </c>
      <c r="C20" s="40">
        <f>IF(B20=0,0,B20/$B$22)</f>
        <v>0.30200186792258427</v>
      </c>
      <c r="D20" s="68">
        <f>[2]Summary!$B$19</f>
        <v>19746</v>
      </c>
      <c r="E20" s="53">
        <f>IF(D20=0,0,D20/$D$22)</f>
        <v>0.52254684026675136</v>
      </c>
      <c r="F20" s="68">
        <f>[2]Summary!$B$20</f>
        <v>199</v>
      </c>
      <c r="G20" s="40">
        <f>IF(F20=0,0,F20/$F$22)</f>
        <v>0.88444444444444448</v>
      </c>
      <c r="H20" s="41">
        <f>IF(B20+D20+F20=0,0,B20+D20+F20)</f>
        <v>110808</v>
      </c>
      <c r="I20" s="40">
        <f>IF(H20=0,0,H20/$H$22)</f>
        <v>0.32698107305787855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210006</v>
      </c>
      <c r="C21" s="40">
        <f>IF(B21=0,0,B21/$B$22)</f>
        <v>0.69799813207741579</v>
      </c>
      <c r="D21" s="69">
        <f>[2]Summary!$B$23</f>
        <v>18042</v>
      </c>
      <c r="E21" s="53">
        <f>IF(D21=0,0,D21/$D$22)</f>
        <v>0.47745315973324864</v>
      </c>
      <c r="F21" s="69">
        <f>[2]Summary!$B$24</f>
        <v>26</v>
      </c>
      <c r="G21" s="40">
        <f>IF(F21=0,0,F21/$F$22)</f>
        <v>0.11555555555555555</v>
      </c>
      <c r="H21" s="69">
        <f>IF(B21+D21+F21=0,0,B21+D21+F21)</f>
        <v>228074</v>
      </c>
      <c r="I21" s="40">
        <f>IF(H21=0,0,H21/$H$22)</f>
        <v>0.6730189269421214</v>
      </c>
    </row>
    <row r="22" spans="1:17" ht="18" customHeight="1" x14ac:dyDescent="0.2">
      <c r="A22" s="39" t="str">
        <f>A13</f>
        <v>Total</v>
      </c>
      <c r="B22" s="42">
        <f>SUM(B20:B21)</f>
        <v>300869</v>
      </c>
      <c r="C22" s="55"/>
      <c r="D22" s="42">
        <f>SUM(D20:D21)</f>
        <v>37788</v>
      </c>
      <c r="E22" s="43"/>
      <c r="F22" s="42">
        <f>SUM(F20:F21)</f>
        <v>225</v>
      </c>
      <c r="G22" s="43"/>
      <c r="H22" s="42">
        <f>IF(H20+H21=0,0,H20+H21)</f>
        <v>338882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110,808 of UI's total customers, or 32.7%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228,074 or 67.3%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showGridLines="0" showZeros="0" topLeftCell="A31" zoomScaleNormal="100" workbookViewId="0">
      <selection activeCell="F48" sqref="F48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March 31,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91</v>
      </c>
      <c r="C9" s="113">
        <v>180</v>
      </c>
      <c r="D9" s="114">
        <v>197</v>
      </c>
      <c r="E9" s="115">
        <v>377</v>
      </c>
      <c r="F9" s="21">
        <f t="shared" ref="F9:F46" si="0">IF(E9=0,"",E9/$E$47)</f>
        <v>3.4031106417165397E-3</v>
      </c>
    </row>
    <row r="10" spans="1:11" ht="14.25" customHeight="1" x14ac:dyDescent="0.2">
      <c r="A10" s="105">
        <v>2</v>
      </c>
      <c r="B10" t="s">
        <v>92</v>
      </c>
      <c r="C10" s="116">
        <v>558</v>
      </c>
      <c r="D10" s="112">
        <v>1115</v>
      </c>
      <c r="E10" s="117">
        <v>1673</v>
      </c>
      <c r="F10" s="21">
        <f t="shared" si="0"/>
        <v>1.510186764878454E-2</v>
      </c>
    </row>
    <row r="11" spans="1:11" ht="14.25" customHeight="1" x14ac:dyDescent="0.2">
      <c r="A11" s="105">
        <v>3</v>
      </c>
      <c r="B11" t="s">
        <v>50</v>
      </c>
      <c r="C11" s="116">
        <v>10641</v>
      </c>
      <c r="D11" s="112">
        <v>846</v>
      </c>
      <c r="E11" s="117">
        <v>11487</v>
      </c>
      <c r="F11" s="21">
        <f t="shared" si="0"/>
        <v>0.10369106615755409</v>
      </c>
    </row>
    <row r="12" spans="1:11" ht="14.25" customHeight="1" x14ac:dyDescent="0.2">
      <c r="A12" s="105">
        <v>4</v>
      </c>
      <c r="B12" t="s">
        <v>58</v>
      </c>
      <c r="C12" s="116">
        <v>17</v>
      </c>
      <c r="D12" s="112">
        <v>3033</v>
      </c>
      <c r="E12" s="117">
        <v>3050</v>
      </c>
      <c r="F12" s="21">
        <f t="shared" si="0"/>
        <v>2.7531796968794289E-2</v>
      </c>
    </row>
    <row r="13" spans="1:11" ht="14.25" customHeight="1" x14ac:dyDescent="0.2">
      <c r="A13" s="105">
        <v>5</v>
      </c>
      <c r="B13" t="s">
        <v>59</v>
      </c>
      <c r="C13" s="116">
        <v>16</v>
      </c>
      <c r="D13" s="112">
        <v>173</v>
      </c>
      <c r="E13" s="117">
        <v>189</v>
      </c>
      <c r="F13" s="21">
        <f t="shared" si="0"/>
        <v>1.7060687301974165E-3</v>
      </c>
    </row>
    <row r="14" spans="1:11" ht="14.25" customHeight="1" x14ac:dyDescent="0.2">
      <c r="A14" s="105">
        <v>6</v>
      </c>
      <c r="B14" t="s">
        <v>60</v>
      </c>
      <c r="C14" s="116">
        <v>559</v>
      </c>
      <c r="D14" s="112">
        <v>13</v>
      </c>
      <c r="E14" s="117">
        <v>572</v>
      </c>
      <c r="F14" s="21">
        <f t="shared" si="0"/>
        <v>5.1633402839837157E-3</v>
      </c>
    </row>
    <row r="15" spans="1:11" ht="14.25" customHeight="1" x14ac:dyDescent="0.2">
      <c r="A15" s="105">
        <v>7</v>
      </c>
      <c r="B15" t="s">
        <v>61</v>
      </c>
      <c r="C15" s="116">
        <v>7955</v>
      </c>
      <c r="D15" s="112">
        <v>405</v>
      </c>
      <c r="E15" s="117">
        <v>8360</v>
      </c>
      <c r="F15" s="21">
        <f t="shared" si="0"/>
        <v>7.5464204150531233E-2</v>
      </c>
    </row>
    <row r="16" spans="1:11" ht="14.25" customHeight="1" x14ac:dyDescent="0.2">
      <c r="A16" s="105">
        <v>8</v>
      </c>
      <c r="B16" t="s">
        <v>62</v>
      </c>
      <c r="C16" s="116">
        <v>637</v>
      </c>
      <c r="D16" s="112">
        <v>100</v>
      </c>
      <c r="E16" s="117">
        <v>737</v>
      </c>
      <c r="F16" s="21">
        <f t="shared" si="0"/>
        <v>6.6527653659020948E-3</v>
      </c>
    </row>
    <row r="17" spans="1:6" ht="14.25" customHeight="1" x14ac:dyDescent="0.2">
      <c r="A17" s="105">
        <v>9</v>
      </c>
      <c r="B17" t="s">
        <v>63</v>
      </c>
      <c r="C17" s="116">
        <v>876</v>
      </c>
      <c r="D17" s="112">
        <v>4462</v>
      </c>
      <c r="E17" s="117">
        <v>5338</v>
      </c>
      <c r="F17" s="21">
        <f t="shared" si="0"/>
        <v>4.8185158104729148E-2</v>
      </c>
    </row>
    <row r="18" spans="1:6" ht="14.25" customHeight="1" x14ac:dyDescent="0.2">
      <c r="A18" s="105">
        <v>10</v>
      </c>
      <c r="B18" t="s">
        <v>64</v>
      </c>
      <c r="C18" s="116">
        <v>7538</v>
      </c>
      <c r="D18" s="112">
        <v>703</v>
      </c>
      <c r="E18" s="117">
        <v>8241</v>
      </c>
      <c r="F18" s="21">
        <f t="shared" si="0"/>
        <v>7.4390012727814342E-2</v>
      </c>
    </row>
    <row r="19" spans="1:6" ht="14.25" customHeight="1" x14ac:dyDescent="0.2">
      <c r="A19" s="105">
        <v>11</v>
      </c>
      <c r="B19" t="s">
        <v>56</v>
      </c>
      <c r="C19" s="116">
        <v>56</v>
      </c>
      <c r="D19" s="112">
        <v>1334</v>
      </c>
      <c r="E19" s="117">
        <v>1390</v>
      </c>
      <c r="F19" s="21">
        <f t="shared" si="0"/>
        <v>1.2547277962827562E-2</v>
      </c>
    </row>
    <row r="20" spans="1:6" ht="14.25" customHeight="1" x14ac:dyDescent="0.2">
      <c r="A20" s="105">
        <v>12</v>
      </c>
      <c r="B20" t="s">
        <v>65</v>
      </c>
      <c r="C20" s="116">
        <v>7295</v>
      </c>
      <c r="D20" s="112">
        <v>1994</v>
      </c>
      <c r="E20" s="117">
        <v>9289</v>
      </c>
      <c r="F20" s="21">
        <f t="shared" si="0"/>
        <v>8.3850118702665621E-2</v>
      </c>
    </row>
    <row r="21" spans="1:6" ht="14.25" customHeight="1" x14ac:dyDescent="0.2">
      <c r="A21" s="105">
        <v>13</v>
      </c>
      <c r="B21" t="s">
        <v>66</v>
      </c>
      <c r="C21" s="116">
        <v>4667</v>
      </c>
      <c r="D21" s="112">
        <v>281</v>
      </c>
      <c r="E21" s="117">
        <v>4948</v>
      </c>
      <c r="F21" s="21">
        <f t="shared" si="0"/>
        <v>4.4664698820194797E-2</v>
      </c>
    </row>
    <row r="22" spans="1:6" ht="14.25" customHeight="1" x14ac:dyDescent="0.2">
      <c r="A22" s="105">
        <v>14</v>
      </c>
      <c r="B22" t="s">
        <v>67</v>
      </c>
      <c r="C22" s="116"/>
      <c r="D22" s="112">
        <v>70</v>
      </c>
      <c r="E22" s="117">
        <v>70</v>
      </c>
      <c r="F22" s="21">
        <f t="shared" si="0"/>
        <v>6.3187730748052464E-4</v>
      </c>
    </row>
    <row r="23" spans="1:6" ht="14.25" customHeight="1" x14ac:dyDescent="0.2">
      <c r="A23" s="105">
        <v>15</v>
      </c>
      <c r="B23" t="s">
        <v>68</v>
      </c>
      <c r="C23" s="116">
        <v>4</v>
      </c>
      <c r="D23" s="112">
        <v>4</v>
      </c>
      <c r="E23" s="117">
        <v>8</v>
      </c>
      <c r="F23" s="21">
        <f t="shared" si="0"/>
        <v>7.2214549426345671E-5</v>
      </c>
    </row>
    <row r="24" spans="1:6" ht="14.25" customHeight="1" x14ac:dyDescent="0.2">
      <c r="A24" s="105">
        <v>16</v>
      </c>
      <c r="B24" t="s">
        <v>69</v>
      </c>
      <c r="C24" s="116">
        <v>475</v>
      </c>
      <c r="D24" s="112">
        <v>106</v>
      </c>
      <c r="E24" s="117">
        <v>581</v>
      </c>
      <c r="F24" s="21">
        <f t="shared" si="0"/>
        <v>5.2445816520883546E-3</v>
      </c>
    </row>
    <row r="25" spans="1:6" ht="14.25" customHeight="1" x14ac:dyDescent="0.2">
      <c r="A25" s="105">
        <v>17</v>
      </c>
      <c r="B25" t="s">
        <v>70</v>
      </c>
      <c r="C25" s="116">
        <v>16</v>
      </c>
      <c r="D25" s="112"/>
      <c r="E25" s="117">
        <v>16</v>
      </c>
      <c r="F25" s="21">
        <f t="shared" si="0"/>
        <v>1.4442909885269134E-4</v>
      </c>
    </row>
    <row r="26" spans="1:6" ht="14.25" customHeight="1" x14ac:dyDescent="0.2">
      <c r="A26" s="105">
        <v>18</v>
      </c>
      <c r="B26" t="s">
        <v>71</v>
      </c>
      <c r="C26" s="116">
        <v>288</v>
      </c>
      <c r="D26" s="112">
        <v>1053</v>
      </c>
      <c r="E26" s="117">
        <v>1341</v>
      </c>
      <c r="F26" s="21">
        <f t="shared" si="0"/>
        <v>1.2104963847591193E-2</v>
      </c>
    </row>
    <row r="27" spans="1:6" ht="14.25" customHeight="1" x14ac:dyDescent="0.2">
      <c r="A27" s="105">
        <v>19</v>
      </c>
      <c r="B27" t="s">
        <v>72</v>
      </c>
      <c r="C27" s="116">
        <v>276</v>
      </c>
      <c r="D27" s="112">
        <v>94</v>
      </c>
      <c r="E27" s="117">
        <v>370</v>
      </c>
      <c r="F27" s="21">
        <f t="shared" si="0"/>
        <v>3.3399229109684872E-3</v>
      </c>
    </row>
    <row r="28" spans="1:6" ht="14.25" customHeight="1" x14ac:dyDescent="0.2">
      <c r="A28" s="105">
        <v>20</v>
      </c>
      <c r="B28" t="s">
        <v>12</v>
      </c>
      <c r="C28" s="116">
        <v>5597</v>
      </c>
      <c r="D28" s="112">
        <v>292</v>
      </c>
      <c r="E28" s="117">
        <v>5889</v>
      </c>
      <c r="F28" s="21">
        <f t="shared" si="0"/>
        <v>5.3158935196468707E-2</v>
      </c>
    </row>
    <row r="29" spans="1:6" ht="14.25" customHeight="1" x14ac:dyDescent="0.2">
      <c r="A29" s="105">
        <v>21</v>
      </c>
      <c r="B29" t="s">
        <v>73</v>
      </c>
      <c r="C29" s="116">
        <v>1275</v>
      </c>
      <c r="D29" s="112">
        <v>24</v>
      </c>
      <c r="E29" s="117">
        <v>1299</v>
      </c>
      <c r="F29" s="21">
        <f t="shared" si="0"/>
        <v>1.1725837463102878E-2</v>
      </c>
    </row>
    <row r="30" spans="1:6" ht="14.25" customHeight="1" x14ac:dyDescent="0.2">
      <c r="A30" s="105">
        <v>22</v>
      </c>
      <c r="B30" t="s">
        <v>74</v>
      </c>
      <c r="C30" s="116">
        <v>193</v>
      </c>
      <c r="D30" s="112">
        <v>86</v>
      </c>
      <c r="E30" s="117">
        <v>279</v>
      </c>
      <c r="F30" s="21">
        <f t="shared" si="0"/>
        <v>2.5184824112438053E-3</v>
      </c>
    </row>
    <row r="31" spans="1:6" ht="14.25" customHeight="1" x14ac:dyDescent="0.2">
      <c r="A31" s="105">
        <v>23</v>
      </c>
      <c r="B31" t="s">
        <v>75</v>
      </c>
      <c r="C31" s="116">
        <v>8</v>
      </c>
      <c r="D31" s="112">
        <v>2</v>
      </c>
      <c r="E31" s="117">
        <v>10</v>
      </c>
      <c r="F31" s="21">
        <f t="shared" si="0"/>
        <v>9.0268186782932095E-5</v>
      </c>
    </row>
    <row r="32" spans="1:6" ht="14.25" customHeight="1" x14ac:dyDescent="0.2">
      <c r="A32" s="105">
        <v>24</v>
      </c>
      <c r="B32" t="s">
        <v>76</v>
      </c>
      <c r="C32" s="116">
        <v>214</v>
      </c>
      <c r="D32" s="112">
        <v>320</v>
      </c>
      <c r="E32" s="117">
        <v>534</v>
      </c>
      <c r="F32" s="21">
        <f t="shared" si="0"/>
        <v>4.8203211742085736E-3</v>
      </c>
    </row>
    <row r="33" spans="1:7" ht="14.25" customHeight="1" x14ac:dyDescent="0.2">
      <c r="A33" s="105">
        <v>25</v>
      </c>
      <c r="B33" t="s">
        <v>77</v>
      </c>
      <c r="C33" s="116">
        <v>8882</v>
      </c>
      <c r="D33" s="112">
        <v>237</v>
      </c>
      <c r="E33" s="117">
        <v>9119</v>
      </c>
      <c r="F33" s="21">
        <f t="shared" si="0"/>
        <v>8.2315559527355781E-2</v>
      </c>
    </row>
    <row r="34" spans="1:7" ht="14.25" customHeight="1" x14ac:dyDescent="0.2">
      <c r="A34" s="105">
        <v>26</v>
      </c>
      <c r="B34" t="s">
        <v>78</v>
      </c>
      <c r="C34" s="116">
        <v>990</v>
      </c>
      <c r="D34" s="112">
        <v>225</v>
      </c>
      <c r="E34" s="117">
        <v>1215</v>
      </c>
      <c r="F34" s="21">
        <f t="shared" si="0"/>
        <v>1.0967584694126249E-2</v>
      </c>
    </row>
    <row r="35" spans="1:7" ht="14.25" customHeight="1" x14ac:dyDescent="0.2">
      <c r="A35" s="105">
        <v>27</v>
      </c>
      <c r="B35" t="s">
        <v>93</v>
      </c>
      <c r="C35" s="116">
        <v>6</v>
      </c>
      <c r="D35" s="112"/>
      <c r="E35" s="117">
        <v>6</v>
      </c>
      <c r="F35" s="21">
        <f t="shared" si="0"/>
        <v>5.4160912069759253E-5</v>
      </c>
    </row>
    <row r="36" spans="1:7" ht="14.25" customHeight="1" x14ac:dyDescent="0.2">
      <c r="A36" s="105">
        <v>28</v>
      </c>
      <c r="B36" t="s">
        <v>79</v>
      </c>
      <c r="C36" s="116">
        <v>4621</v>
      </c>
      <c r="D36" s="112">
        <v>929</v>
      </c>
      <c r="E36" s="117">
        <v>5550</v>
      </c>
      <c r="F36" s="21">
        <f t="shared" si="0"/>
        <v>5.0098843664527312E-2</v>
      </c>
    </row>
    <row r="37" spans="1:7" ht="14.25" customHeight="1" x14ac:dyDescent="0.2">
      <c r="A37" s="105">
        <v>29</v>
      </c>
      <c r="B37" t="s">
        <v>80</v>
      </c>
      <c r="C37" s="116">
        <v>499</v>
      </c>
      <c r="D37" s="112">
        <v>321</v>
      </c>
      <c r="E37" s="117">
        <v>820</v>
      </c>
      <c r="F37" s="21">
        <f t="shared" si="0"/>
        <v>7.4019913162004314E-3</v>
      </c>
    </row>
    <row r="38" spans="1:7" ht="14.25" customHeight="1" x14ac:dyDescent="0.2">
      <c r="A38" s="105">
        <v>30</v>
      </c>
      <c r="B38" t="s">
        <v>81</v>
      </c>
      <c r="C38" s="116">
        <v>2584</v>
      </c>
      <c r="D38" s="112">
        <v>196</v>
      </c>
      <c r="E38" s="117">
        <v>2780</v>
      </c>
      <c r="F38" s="21">
        <f t="shared" si="0"/>
        <v>2.5094555925655123E-2</v>
      </c>
    </row>
    <row r="39" spans="1:7" ht="14.25" customHeight="1" x14ac:dyDescent="0.2">
      <c r="A39" s="105">
        <v>31</v>
      </c>
      <c r="B39" t="s">
        <v>82</v>
      </c>
      <c r="C39" s="116">
        <v>1755</v>
      </c>
      <c r="D39" s="112">
        <v>159</v>
      </c>
      <c r="E39" s="117">
        <v>1914</v>
      </c>
      <c r="F39" s="21">
        <f t="shared" si="0"/>
        <v>1.7277330950253203E-2</v>
      </c>
    </row>
    <row r="40" spans="1:7" ht="14.25" customHeight="1" x14ac:dyDescent="0.2">
      <c r="A40" s="105">
        <v>32</v>
      </c>
      <c r="B40" t="s">
        <v>83</v>
      </c>
      <c r="C40" s="116"/>
      <c r="D40" s="112">
        <v>13</v>
      </c>
      <c r="E40" s="117">
        <v>13</v>
      </c>
      <c r="F40" s="21">
        <f t="shared" si="0"/>
        <v>1.1734864281781172E-4</v>
      </c>
    </row>
    <row r="41" spans="1:7" ht="14.25" customHeight="1" x14ac:dyDescent="0.2">
      <c r="A41" s="105">
        <v>33</v>
      </c>
      <c r="B41" t="s">
        <v>54</v>
      </c>
      <c r="C41" s="116">
        <v>3357</v>
      </c>
      <c r="D41" s="112">
        <v>112</v>
      </c>
      <c r="E41" s="117">
        <v>3469</v>
      </c>
      <c r="F41" s="21">
        <f t="shared" si="0"/>
        <v>3.1314033994999144E-2</v>
      </c>
    </row>
    <row r="42" spans="1:7" ht="14.25" customHeight="1" x14ac:dyDescent="0.2">
      <c r="A42" s="105">
        <v>34</v>
      </c>
      <c r="B42" t="s">
        <v>84</v>
      </c>
      <c r="C42" s="116">
        <v>9133</v>
      </c>
      <c r="D42" s="112">
        <v>190</v>
      </c>
      <c r="E42" s="117">
        <v>9323</v>
      </c>
      <c r="F42" s="21">
        <f t="shared" si="0"/>
        <v>8.4157030537727592E-2</v>
      </c>
    </row>
    <row r="43" spans="1:7" ht="14.25" customHeight="1" x14ac:dyDescent="0.2">
      <c r="A43" s="105">
        <v>35</v>
      </c>
      <c r="B43" t="s">
        <v>85</v>
      </c>
      <c r="C43" s="116">
        <v>6595</v>
      </c>
      <c r="D43" s="112">
        <v>336</v>
      </c>
      <c r="E43" s="117">
        <v>6931</v>
      </c>
      <c r="F43" s="21">
        <f t="shared" si="0"/>
        <v>6.2564880259250236E-2</v>
      </c>
    </row>
    <row r="44" spans="1:7" ht="14.25" customHeight="1" x14ac:dyDescent="0.2">
      <c r="A44" s="105">
        <v>36</v>
      </c>
      <c r="B44" t="s">
        <v>86</v>
      </c>
      <c r="C44" s="116">
        <v>613</v>
      </c>
      <c r="D44" s="112">
        <v>107</v>
      </c>
      <c r="E44" s="117">
        <v>720</v>
      </c>
      <c r="F44" s="21">
        <f t="shared" si="0"/>
        <v>6.4993094483711102E-3</v>
      </c>
    </row>
    <row r="45" spans="1:7" ht="14.25" customHeight="1" x14ac:dyDescent="0.2">
      <c r="A45" s="105">
        <v>37</v>
      </c>
      <c r="B45" t="s">
        <v>88</v>
      </c>
      <c r="C45" s="116">
        <v>39</v>
      </c>
      <c r="D45" s="112">
        <v>16</v>
      </c>
      <c r="E45" s="117">
        <v>55</v>
      </c>
      <c r="F45" s="21">
        <f t="shared" si="0"/>
        <v>4.9647502730612646E-4</v>
      </c>
    </row>
    <row r="46" spans="1:7" ht="14.25" customHeight="1" x14ac:dyDescent="0.2">
      <c r="A46" s="105">
        <v>38</v>
      </c>
      <c r="B46" t="s">
        <v>87</v>
      </c>
      <c r="C46" s="116">
        <v>2448</v>
      </c>
      <c r="D46" s="112">
        <v>370</v>
      </c>
      <c r="E46" s="117">
        <v>2818</v>
      </c>
      <c r="F46" s="21">
        <f t="shared" si="0"/>
        <v>2.5437575035430263E-2</v>
      </c>
    </row>
    <row r="47" spans="1:7" x14ac:dyDescent="0.2">
      <c r="A47" s="105"/>
      <c r="B47" s="108" t="s">
        <v>57</v>
      </c>
      <c r="C47" s="118">
        <v>90863</v>
      </c>
      <c r="D47" s="119">
        <v>19918</v>
      </c>
      <c r="E47" s="120">
        <v>110781</v>
      </c>
      <c r="F47" s="21">
        <f>SUM(F9:F46)</f>
        <v>1</v>
      </c>
      <c r="G47" s="109"/>
    </row>
    <row r="48" spans="1:7" x14ac:dyDescent="0.2">
      <c r="A48" s="106"/>
    </row>
    <row r="49" spans="1:10" x14ac:dyDescent="0.2">
      <c r="A49" s="1" t="s">
        <v>22</v>
      </c>
      <c r="B49" s="103"/>
    </row>
    <row r="50" spans="1:10" x14ac:dyDescent="0.2">
      <c r="A50" s="1" t="s">
        <v>21</v>
      </c>
      <c r="J50" s="104"/>
    </row>
    <row r="51" spans="1:10" x14ac:dyDescent="0.2">
      <c r="A51" s="1" t="s">
        <v>17</v>
      </c>
    </row>
  </sheetData>
  <sortState ref="B9:E52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March 31,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3170</v>
      </c>
      <c r="C13" s="43">
        <f>IF(B13=0,0,B13/'Summary Load Customers '!$B$22)</f>
        <v>1.0536146960969724E-2</v>
      </c>
      <c r="D13" s="42">
        <f>REC_programs_detail!C23</f>
        <v>34</v>
      </c>
      <c r="E13" s="43">
        <f>IF(D13=0,0,D13/('Summary Load Customers '!$D$22+'Summary Load Customers '!$F$22))</f>
        <v>8.9443085260305683E-4</v>
      </c>
      <c r="F13" s="42">
        <f>B13+D13</f>
        <v>3204</v>
      </c>
      <c r="G13" s="43">
        <f>IF(F13=0,0,F13/'Summary Load Customers '!$H$22)</f>
        <v>9.454618421751524E-3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3,204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587</v>
      </c>
      <c r="C20" s="43">
        <f>IF(B20=0,0,B20/'Summary Load Customers '!$B$22)</f>
        <v>1.9510152258956557E-3</v>
      </c>
      <c r="D20" s="42">
        <f>REC_programs_detail!C29</f>
        <v>57</v>
      </c>
      <c r="E20" s="43">
        <f>IF(D20=0,0,D20/('Summary Load Customers '!$D$22+'Summary Load Customers '!$F$22))</f>
        <v>1.4994870175992425E-3</v>
      </c>
      <c r="F20" s="42">
        <f>B20+D20</f>
        <v>644</v>
      </c>
      <c r="G20" s="43">
        <f>IF(F20=0,0,F20/'Summary Load Customers '!$H$22)</f>
        <v>1.9003664992534273E-3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0,644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3757</v>
      </c>
      <c r="C27" s="43">
        <f>IF(B27=0,0,B27/'Summary Load Customers '!$B$22)</f>
        <v>1.248716218686538E-2</v>
      </c>
      <c r="D27" s="42">
        <f>D13+D20</f>
        <v>91</v>
      </c>
      <c r="E27" s="43">
        <f>IF(D27=0,0,D27/('Summary Load Customers '!$D$22+'Summary Load Customers '!$F$22))</f>
        <v>2.3939178702022993E-3</v>
      </c>
      <c r="F27" s="42">
        <f>B27+D27</f>
        <v>3848</v>
      </c>
      <c r="G27" s="43">
        <f>IF(F27=0,0,F27/'Summary Load Customers '!$H$22)</f>
        <v>1.1354984921004951E-2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3,848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5" zoomScale="110" zoomScaleNormal="110" workbookViewId="0">
      <selection activeCell="C9" sqref="C9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March 31, 2020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116</v>
      </c>
      <c r="C9" s="84">
        <v>2</v>
      </c>
      <c r="D9" s="85">
        <f>SUM(B9:C9)</f>
        <v>118</v>
      </c>
      <c r="E9" s="87"/>
      <c r="F9" s="87"/>
      <c r="G9" s="86"/>
      <c r="H9" s="75"/>
    </row>
    <row r="10" spans="1:9" x14ac:dyDescent="0.2">
      <c r="A10" s="82" t="s">
        <v>15</v>
      </c>
      <c r="B10" s="84">
        <v>2598</v>
      </c>
      <c r="C10" s="84">
        <v>31</v>
      </c>
      <c r="D10" s="85">
        <f>SUM(B10:C10)</f>
        <v>2629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2714</v>
      </c>
      <c r="C11" s="91">
        <f>IF(SUM(C8:C10)=0,0,SUM(C8:C10))</f>
        <v>33</v>
      </c>
      <c r="D11" s="91">
        <f>IF(SUM(D8:D10)=0,0,SUM(D8:D10))</f>
        <v>2747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454</v>
      </c>
      <c r="C16" s="84">
        <v>1</v>
      </c>
      <c r="D16" s="85">
        <f>SUM(B16:C16)</f>
        <v>455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456</v>
      </c>
      <c r="C17" s="91">
        <f>IF(SUM(C14:C16)=0,0,SUM(C14:C16))</f>
        <v>1</v>
      </c>
      <c r="D17" s="91">
        <f>IF(SUM(D14:D16)=0,0,SUM(D14:D16))</f>
        <v>457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118</v>
      </c>
      <c r="C21" s="96">
        <f>IF(C9+C15=0,0,C9+C15)</f>
        <v>2</v>
      </c>
      <c r="D21" s="85">
        <f t="shared" si="0"/>
        <v>120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3052</v>
      </c>
      <c r="C22" s="96">
        <f>IF(C10+C16=0,0,C10+C16)</f>
        <v>32</v>
      </c>
      <c r="D22" s="85">
        <f>IF(D10+D16=0,0,D10+D16)</f>
        <v>3084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3170</v>
      </c>
      <c r="C23" s="91">
        <f>IF(SUM(C20:C22)=0,0,SUM(C20:C22))</f>
        <v>34</v>
      </c>
      <c r="D23" s="91">
        <f>SUM(D20:D22)</f>
        <v>3204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176</v>
      </c>
      <c r="C27" s="84">
        <v>11</v>
      </c>
      <c r="D27" s="85">
        <f>SUM(B27:C27)</f>
        <v>187</v>
      </c>
    </row>
    <row r="28" spans="1:8" x14ac:dyDescent="0.2">
      <c r="A28" s="82" t="s">
        <v>15</v>
      </c>
      <c r="B28" s="84">
        <v>411</v>
      </c>
      <c r="C28" s="84">
        <v>46</v>
      </c>
      <c r="D28" s="85">
        <f>SUM(B28:C28)</f>
        <v>457</v>
      </c>
    </row>
    <row r="29" spans="1:8" x14ac:dyDescent="0.2">
      <c r="A29" s="90" t="str">
        <f>A23</f>
        <v>Total</v>
      </c>
      <c r="B29" s="110">
        <f>IF(B27+B28=0,0,B27+B28)</f>
        <v>587</v>
      </c>
      <c r="C29" s="91">
        <f>IF(SUM(C26:C28)=0,0,SUM(C26:C28))</f>
        <v>57</v>
      </c>
      <c r="D29" s="91">
        <f>IF(SUM(D26:D28)=0,0,SUM(D26:D28))</f>
        <v>644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294</v>
      </c>
      <c r="C33" s="96">
        <f t="shared" si="1"/>
        <v>13</v>
      </c>
      <c r="D33" s="85">
        <f t="shared" si="1"/>
        <v>307</v>
      </c>
      <c r="E33" s="75"/>
      <c r="F33" s="75"/>
      <c r="G33" s="75"/>
    </row>
    <row r="34" spans="1:7" x14ac:dyDescent="0.2">
      <c r="A34" s="82" t="s">
        <v>15</v>
      </c>
      <c r="B34" s="96">
        <f>B22+B28</f>
        <v>3463</v>
      </c>
      <c r="C34" s="96">
        <f t="shared" si="1"/>
        <v>78</v>
      </c>
      <c r="D34" s="85">
        <f t="shared" si="1"/>
        <v>3541</v>
      </c>
    </row>
    <row r="35" spans="1:7" x14ac:dyDescent="0.2">
      <c r="A35" s="90" t="str">
        <f>A29</f>
        <v>Total</v>
      </c>
      <c r="B35" s="91">
        <f>IF(B33+B34=0,0,B33+B34)</f>
        <v>3757</v>
      </c>
      <c r="C35" s="91">
        <f>IF(SUM(C32:C34)=0,0,SUM(C32:C34))</f>
        <v>91</v>
      </c>
      <c r="D35" s="91">
        <f>SUM(D32:D34)</f>
        <v>3848</v>
      </c>
    </row>
    <row r="37" spans="1:7" x14ac:dyDescent="0.2">
      <c r="A37" s="97" t="str">
        <f>"In summary, "&amp;TEXT($D$23,"0,000")&amp; " of UI's customers are participating in the CTCleanEnergyOptions Program"</f>
        <v>In summary, 3,204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644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3,848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2020-04-09T20:06:48Z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</Properties>
</file>