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User\WRK_GRP\File_output_data\PURA_reports_filings\06-10-22_Switch_reports_and_letters\Supplier Counts\2020-07\"/>
    </mc:Choice>
  </mc:AlternateContent>
  <xr:revisionPtr revIDLastSave="0" documentId="10_ncr:100000_{3038A8DD-467C-4B27-AEA5-454505C1D0B9}" xr6:coauthVersionLast="31" xr6:coauthVersionMax="31" xr10:uidLastSave="{00000000-0000-0000-0000-000000000000}"/>
  <bookViews>
    <workbookView xWindow="0" yWindow="0" windowWidth="16875" windowHeight="4905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79017"/>
</workbook>
</file>

<file path=xl/calcChain.xml><?xml version="1.0" encoding="utf-8"?>
<calcChain xmlns="http://schemas.openxmlformats.org/spreadsheetml/2006/main">
  <c r="B20" i="7" l="1"/>
  <c r="F12" i="7"/>
  <c r="D12" i="7"/>
  <c r="B12" i="7"/>
  <c r="F11" i="7"/>
  <c r="D11" i="7"/>
  <c r="B11" i="7"/>
  <c r="F21" i="7" l="1"/>
  <c r="F20" i="7"/>
  <c r="D21" i="7"/>
  <c r="D20" i="7"/>
  <c r="B21" i="7"/>
  <c r="B21" i="5" l="1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 l="1"/>
  <c r="B32" i="5"/>
  <c r="C11" i="5" l="1"/>
  <c r="A5" i="6" l="1"/>
  <c r="B33" i="5" l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D13" i="7" l="1"/>
  <c r="E12" i="7" s="1"/>
  <c r="H11" i="7"/>
  <c r="G11" i="7"/>
  <c r="E11" i="7" l="1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<sst xmlns="http://schemas.openxmlformats.org/spreadsheetml/2006/main" count="157" uniqueCount="91">
  <si>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</si>
  <si>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</si>
  <si>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</si>
  <si>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</si>
  <si>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</si>
  <si>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</si>
  <si>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</si>
  <si>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</si>
  <si>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</si>
  <si>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</si>
  <si>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</si>
  <si>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</si>
  <si>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</si>
  <si>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</si>
  <si>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</si>
  <si>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</si>
  <si>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</si>
  <si>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</si>
  <si>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</si>
  <si>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</si>
  <si>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</si>
  <si>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</si>
  <si>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</si>
  <si>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</si>
  <si>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</si>
  <si>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</si>
  <si>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</si>
  <si>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</si>
  <si>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</si>
  <si>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</si>
  <si>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</si>
  <si>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</si>
  <si>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</si>
  <si>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</si>
  <si>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</si>
  <si>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</si>
  <si>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</si>
  <si>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</si>
  <si>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</si>
  <si>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</si>
  <si>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</si>
  <si>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</si>
  <si>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</si>
  <si>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</si>
  <si>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</si>
  <si>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</si>
  <si>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</si>
  <si>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</si>
  <si>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</si>
  <si>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</si>
  <si>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</si>
  <si>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</si>
  <si>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</si>
  <si>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</si>
  <si>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</si>
  <si>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</si>
  <si>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</si>
  <si>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</si>
  <si>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</si>
  <si>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</si>
  <si>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</si>
  <si>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</si>
  <si>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</si>
  <si>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</si>
  <si>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</si>
  <si>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</si>
  <si>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</si>
  <si>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</si>
  <si>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</si>
  <si>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</si>
  <si>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</si>
  <si>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</si>
  <si>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</si>
  <si>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</si>
  <si>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</si>
  <si>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</si>
  <si>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</si>
  <si>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</si>
  <si>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</si>
  <si>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</si>
  <si>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</si>
  <si>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</si>
  <si>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</si>
  <si>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</si>
  <si>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</si>
  <si>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</si>
  <si>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</si>
  <si>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</si>
  <si>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</si>
  <si>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</si>
  <si>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Data as of July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</si>
</sst>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0/202007_July_2020_customer_count_calcul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0_Total/2020_07_July_total_load_by_seg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73322</v>
          </cell>
        </row>
        <row r="19">
          <cell r="B19">
            <v>18975</v>
          </cell>
        </row>
        <row r="20">
          <cell r="B20">
            <v>200</v>
          </cell>
        </row>
        <row r="22">
          <cell r="B22">
            <v>230158</v>
          </cell>
        </row>
        <row r="23">
          <cell r="B23">
            <v>18980</v>
          </cell>
        </row>
        <row r="24">
          <cell r="B24">
            <v>20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71972.396999999997</v>
          </cell>
        </row>
        <row r="25">
          <cell r="H25">
            <v>173765.3799999998</v>
          </cell>
        </row>
        <row r="26">
          <cell r="H26">
            <v>50310.243999999999</v>
          </cell>
        </row>
        <row r="29">
          <cell r="H29">
            <v>206508.52400000003</v>
          </cell>
        </row>
        <row r="30">
          <cell r="H30">
            <v>66843.275000000009</v>
          </cell>
        </row>
        <row r="31">
          <cell r="H31">
            <v>5869.7559999999994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abSelected="1" zoomScaleNormal="100" workbookViewId="0"/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11" t="s">
        <v>90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8">
        <f>[2]Check!$H$24</f>
        <v>71972.396999999997</v>
      </c>
      <c r="C11" s="40">
        <f>IF(B11=0,0,B11/$B$13)</f>
        <v>0.25844641974593291</v>
      </c>
      <c r="D11" s="68">
        <f>[2]Check!$H$25</f>
        <v>173765.3799999998</v>
      </c>
      <c r="E11" s="40">
        <f>IF(D11=0,0,D11/$D$13)</f>
        <v>0.72219089541895298</v>
      </c>
      <c r="F11" s="68">
        <f>[2]Check!$H$26</f>
        <v>50310.243999999999</v>
      </c>
      <c r="G11" s="40">
        <f>IF(F11=0,0,F11/$F$13)</f>
        <v>0.89551876112495543</v>
      </c>
      <c r="H11" s="41">
        <f>IF(B11+D11+F11=0,0,B11+D11+F11)</f>
        <v>296048.02099999978</v>
      </c>
      <c r="I11" s="40">
        <f>IF(H11=0,0,H11/$H$13)</f>
        <v>0.51462485302716554</v>
      </c>
    </row>
    <row r="12" spans="1:15" ht="18" customHeight="1" x14ac:dyDescent="0.2">
      <c r="A12" s="39" t="s">
        <v>11</v>
      </c>
      <c r="B12" s="69">
        <f>[2]Check!$H$29</f>
        <v>206508.52400000003</v>
      </c>
      <c r="C12" s="40">
        <f>IF(B12=0,0,B12/$B$13)</f>
        <v>0.74155358025406704</v>
      </c>
      <c r="D12" s="69">
        <f>[2]Check!$H$30</f>
        <v>66843.275000000009</v>
      </c>
      <c r="E12" s="40">
        <f>IF(D12=0,0,D12/$D$13)</f>
        <v>0.27780910458104702</v>
      </c>
      <c r="F12" s="69">
        <f>[2]Check!$H$31</f>
        <v>5869.7559999999994</v>
      </c>
      <c r="G12" s="40">
        <f>IF(F12=0,0,F12/$F$13)</f>
        <v>0.10448123887504449</v>
      </c>
      <c r="H12" s="102">
        <f>IF(B12+D12+F12=0,0,B12+D12+F12)</f>
        <v>279221.55500000005</v>
      </c>
      <c r="I12" s="40">
        <f>IF(H12=0,0,H12/$H$13)</f>
        <v>0.48537514697283435</v>
      </c>
    </row>
    <row r="13" spans="1:15" ht="18" customHeight="1" x14ac:dyDescent="0.2">
      <c r="A13" s="107" t="s">
        <v>6</v>
      </c>
      <c r="B13" s="42">
        <f>SUM(B11:B12)</f>
        <v>278480.92100000003</v>
      </c>
      <c r="C13" s="43"/>
      <c r="D13" s="42">
        <f>SUM(D11:D12)</f>
        <v>240608.6549999998</v>
      </c>
      <c r="E13" s="43"/>
      <c r="F13" s="42">
        <f>SUM(F11:F12)</f>
        <v>56180</v>
      </c>
      <c r="G13" s="43"/>
      <c r="H13" s="42">
        <f>IF(H11+H12=0,0,H11+H12)</f>
        <v>575269.57599999988</v>
      </c>
      <c r="I13" s="44"/>
    </row>
    <row r="14" spans="1:15" ht="18" customHeight="1" x14ac:dyDescent="0.2">
      <c r="A14" s="99" t="str">
        <f>"As the above table shows, "&amp;TEXT(H11,"0,000")&amp; " MWh, or "&amp;TEXT(I11,"0.0%")&amp;" of UI's total load is served by electric suppliers"</f>
        <v>As the above table shows, 296,048 MWh, or 51.5% of UI's total load is served by electric suppliers</v>
      </c>
      <c r="H14" s="27"/>
      <c r="L14" s="101"/>
      <c r="M14" s="101"/>
      <c r="O14" s="101"/>
    </row>
    <row r="15" spans="1:15" ht="18" customHeight="1" x14ac:dyDescent="0.25">
      <c r="A15" s="99" t="str">
        <f>"while "&amp;TEXT(H12,"0,000")&amp;" MHh, or "&amp;TEXT(I12,"0.0%")&amp;" of the load is provided under Standard Service or Last Resort service through UI."</f>
        <v>while 279,222 MHh, or 48.5%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 x14ac:dyDescent="0.25">
      <c r="G16" s="49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 x14ac:dyDescent="0.25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8">
        <f>[1]Summary!$B$18</f>
        <v>73322</v>
      </c>
      <c r="C20" s="40">
        <f>IF(B20=0,0,B20/$B$22)</f>
        <v>0.24160405957558984</v>
      </c>
      <c r="D20" s="68">
        <f>[1]Summary!$B$19</f>
        <v>18975</v>
      </c>
      <c r="E20" s="53">
        <f>IF(D20=0,0,D20/$D$22)</f>
        <v>0.49993413252535895</v>
      </c>
      <c r="F20" s="68">
        <f>[1]Summary!$B$20</f>
        <v>200</v>
      </c>
      <c r="G20" s="40">
        <f>IF(F20=0,0,F20/$F$22)</f>
        <v>0.90909090909090906</v>
      </c>
      <c r="H20" s="41">
        <f>IF(B20+D20+F20=0,0,B20+D20+F20)</f>
        <v>92497</v>
      </c>
      <c r="I20" s="40">
        <f>IF(H20=0,0,H20/$H$22)</f>
        <v>0.2707321713424361</v>
      </c>
      <c r="J20" s="54"/>
      <c r="K20" s="54"/>
      <c r="M20" s="101"/>
    </row>
    <row r="21" spans="1:17" ht="18" customHeight="1" x14ac:dyDescent="0.2">
      <c r="A21" s="39" t="str">
        <f>A12</f>
        <v>UI</v>
      </c>
      <c r="B21" s="69">
        <f>[1]Summary!$B$22</f>
        <v>230158</v>
      </c>
      <c r="C21" s="40">
        <f>IF(B21=0,0,B21/$B$22)</f>
        <v>0.75839594042441016</v>
      </c>
      <c r="D21" s="69">
        <f>[1]Summary!$B$23</f>
        <v>18980</v>
      </c>
      <c r="E21" s="53">
        <f>IF(D21=0,0,D21/$D$22)</f>
        <v>0.50006586747464099</v>
      </c>
      <c r="F21" s="69">
        <f>[1]Summary!$B$24</f>
        <v>20</v>
      </c>
      <c r="G21" s="40">
        <f>IF(F21=0,0,F21/$F$22)</f>
        <v>9.0909090909090912E-2</v>
      </c>
      <c r="H21" s="69">
        <f>IF(B21+D21+F21=0,0,B21+D21+F21)</f>
        <v>249158</v>
      </c>
      <c r="I21" s="40">
        <f>IF(H21=0,0,H21/$H$22)</f>
        <v>0.7292678286575639</v>
      </c>
    </row>
    <row r="22" spans="1:17" ht="18" customHeight="1" x14ac:dyDescent="0.2">
      <c r="A22" s="39" t="str">
        <f>A13</f>
        <v>Total</v>
      </c>
      <c r="B22" s="42">
        <f>SUM(B20:B21)</f>
        <v>303480</v>
      </c>
      <c r="C22" s="55"/>
      <c r="D22" s="42">
        <f>SUM(D20:D21)</f>
        <v>37955</v>
      </c>
      <c r="E22" s="43"/>
      <c r="F22" s="42">
        <f>SUM(F20:F21)</f>
        <v>220</v>
      </c>
      <c r="G22" s="43"/>
      <c r="H22" s="42">
        <f>IF(H20+H21=0,0,H20+H21)</f>
        <v>341655</v>
      </c>
      <c r="I22" s="44"/>
      <c r="N22" s="101"/>
      <c r="Q22" s="101"/>
    </row>
    <row r="23" spans="1:17" ht="18" customHeight="1" x14ac:dyDescent="0.25">
      <c r="G23" s="49"/>
      <c r="H23" s="27"/>
    </row>
    <row r="24" spans="1:17" ht="18" customHeight="1" x14ac:dyDescent="0.25">
      <c r="A24" s="99" t="str">
        <f>"As the above table shows, "&amp;TEXT(H20,"0,000")&amp; " of UI's total customers, or "&amp;TEXT(I20,"0.0%")&amp;" are served by electric suppliers"</f>
        <v>As the above table shows, 92,497 of UI's total customers, or 27.1% are served by electric suppliers</v>
      </c>
      <c r="G24" s="49"/>
      <c r="H24" s="27"/>
      <c r="J24" s="101"/>
    </row>
    <row r="25" spans="1:17" ht="18" customHeight="1" x14ac:dyDescent="0.25">
      <c r="A25" s="99" t="str">
        <f>"while "&amp;TEXT(H21,"0,000")&amp;" or "&amp;TEXT(I21,"0.0%")&amp;" of the customers continue to receive Standard Service or Last Resort service through UI."</f>
        <v>while 249,158 or 72.9%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 x14ac:dyDescent="0.25">
      <c r="B26" s="27"/>
      <c r="C26" s="27"/>
      <c r="D26" s="58"/>
      <c r="E26" s="58"/>
      <c r="F26" s="59"/>
      <c r="G26" s="59"/>
      <c r="H26" s="27"/>
    </row>
    <row r="28" spans="1:17" ht="13.5" x14ac:dyDescent="0.2">
      <c r="A28" s="66" t="s">
        <v>27</v>
      </c>
      <c r="I28" s="101"/>
    </row>
    <row r="29" spans="1:17" ht="13.5" x14ac:dyDescent="0.2">
      <c r="A29" s="66" t="s">
        <v>31</v>
      </c>
    </row>
    <row r="30" spans="1:17" ht="13.5" x14ac:dyDescent="0.2">
      <c r="A30" s="66" t="s">
        <v>49</v>
      </c>
    </row>
    <row r="31" spans="1:17" x14ac:dyDescent="0.2">
      <c r="A31" s="67" t="s">
        <v>17</v>
      </c>
    </row>
    <row r="32" spans="1:17" x14ac:dyDescent="0.2">
      <c r="A32" s="67" t="s">
        <v>23</v>
      </c>
    </row>
    <row r="36" spans="1:1" x14ac:dyDescent="0.2">
      <c r="A36" s="101"/>
    </row>
  </sheetData>
  <phoneticPr fontId="0" type="noConversion"/>
  <printOptions horizontalCentered="1"/>
  <pageMargins left="0.75" right="0.5" top="1.5" bottom="0.75" header="0.5" footer="0"/>
  <pageSetup scale="76" fitToHeight="2" orientation="portrait" r:id="rId1"/>
  <headerFooter alignWithMargins="0">
    <oddHeader xml:space="preserve">&amp;RPage 1 of 4
</oddHeader>
    <oddFooter>&amp;C&amp;1#&amp;"Calibri"&amp;12&amp;K008000Internal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8"/>
  <sheetViews>
    <sheetView showGridLines="0" showZeros="0" topLeftCell="A35" zoomScaleNormal="100" workbookViewId="0">
      <selection activeCell="F44" sqref="F44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1" t="s">
        <v>55</v>
      </c>
      <c r="B2" s="121"/>
      <c r="C2" s="121"/>
      <c r="D2" s="121"/>
      <c r="E2" s="121"/>
      <c r="F2" s="121"/>
      <c r="G2" s="24"/>
      <c r="H2" s="25"/>
      <c r="I2" s="25"/>
    </row>
    <row r="3" spans="1:11" s="8" customFormat="1" ht="18" customHeight="1" x14ac:dyDescent="0.2">
      <c r="A3" s="12" t="s">
        <v>89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July 31, 2020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5">
        <v>1</v>
      </c>
      <c r="B9" t="s">
        <v>50</v>
      </c>
      <c r="C9" s="113">
        <v>5637</v>
      </c>
      <c r="D9" s="114">
        <v>722</v>
      </c>
      <c r="E9" s="115">
        <v>6359</v>
      </c>
      <c r="F9" s="21">
        <f t="shared" ref="F9:F43" si="0">IF(E9=0,"",E9/$E$44)</f>
        <v>6.9313945630136681E-2</v>
      </c>
    </row>
    <row r="10" spans="1:11" ht="14.25" customHeight="1" x14ac:dyDescent="0.2">
      <c r="A10" s="105">
        <v>2</v>
      </c>
      <c r="B10" t="s">
        <v>58</v>
      </c>
      <c r="C10" s="116">
        <v>29</v>
      </c>
      <c r="D10" s="112">
        <v>2236</v>
      </c>
      <c r="E10" s="117">
        <v>2265</v>
      </c>
      <c r="F10" s="21">
        <f t="shared" si="0"/>
        <v>2.4688801203374681E-2</v>
      </c>
    </row>
    <row r="11" spans="1:11" ht="14.25" customHeight="1" x14ac:dyDescent="0.2">
      <c r="A11" s="105">
        <v>3</v>
      </c>
      <c r="B11" t="s">
        <v>59</v>
      </c>
      <c r="C11" s="116">
        <v>19</v>
      </c>
      <c r="D11" s="112">
        <v>200</v>
      </c>
      <c r="E11" s="117">
        <v>219</v>
      </c>
      <c r="F11" s="21">
        <f t="shared" si="0"/>
        <v>2.3871291229753005E-3</v>
      </c>
    </row>
    <row r="12" spans="1:11" ht="14.25" customHeight="1" x14ac:dyDescent="0.2">
      <c r="A12" s="105">
        <v>4</v>
      </c>
      <c r="B12" t="s">
        <v>60</v>
      </c>
      <c r="C12" s="116">
        <v>448</v>
      </c>
      <c r="D12" s="112">
        <v>13</v>
      </c>
      <c r="E12" s="117">
        <v>461</v>
      </c>
      <c r="F12" s="21">
        <f t="shared" si="0"/>
        <v>5.0249613045279156E-3</v>
      </c>
    </row>
    <row r="13" spans="1:11" ht="14.25" customHeight="1" x14ac:dyDescent="0.2">
      <c r="A13" s="105">
        <v>5</v>
      </c>
      <c r="B13" t="s">
        <v>61</v>
      </c>
      <c r="C13" s="116">
        <v>5462</v>
      </c>
      <c r="D13" s="112">
        <v>217</v>
      </c>
      <c r="E13" s="117">
        <v>5679</v>
      </c>
      <c r="F13" s="21">
        <f t="shared" si="0"/>
        <v>6.1901855202633471E-2</v>
      </c>
    </row>
    <row r="14" spans="1:11" ht="14.25" customHeight="1" x14ac:dyDescent="0.2">
      <c r="A14" s="105">
        <v>6</v>
      </c>
      <c r="B14" t="s">
        <v>62</v>
      </c>
      <c r="C14" s="116">
        <v>378</v>
      </c>
      <c r="D14" s="112">
        <v>75</v>
      </c>
      <c r="E14" s="117">
        <v>453</v>
      </c>
      <c r="F14" s="21">
        <f t="shared" si="0"/>
        <v>4.9377602406749359E-3</v>
      </c>
    </row>
    <row r="15" spans="1:11" ht="14.25" customHeight="1" x14ac:dyDescent="0.2">
      <c r="A15" s="105">
        <v>7</v>
      </c>
      <c r="B15" t="s">
        <v>63</v>
      </c>
      <c r="C15" s="116">
        <v>764</v>
      </c>
      <c r="D15" s="112">
        <v>4742</v>
      </c>
      <c r="E15" s="117">
        <v>5506</v>
      </c>
      <c r="F15" s="21">
        <f t="shared" si="0"/>
        <v>6.0016132196812802E-2</v>
      </c>
    </row>
    <row r="16" spans="1:11" ht="14.25" customHeight="1" x14ac:dyDescent="0.2">
      <c r="A16" s="105">
        <v>8</v>
      </c>
      <c r="B16" t="s">
        <v>64</v>
      </c>
      <c r="C16" s="116">
        <v>8930</v>
      </c>
      <c r="D16" s="112">
        <v>1556</v>
      </c>
      <c r="E16" s="117">
        <v>10486</v>
      </c>
      <c r="F16" s="21">
        <f t="shared" si="0"/>
        <v>0.11429879444529223</v>
      </c>
    </row>
    <row r="17" spans="1:6" ht="14.25" customHeight="1" x14ac:dyDescent="0.2">
      <c r="A17" s="105">
        <v>9</v>
      </c>
      <c r="B17" t="s">
        <v>56</v>
      </c>
      <c r="C17" s="116">
        <v>199</v>
      </c>
      <c r="D17" s="112">
        <v>1398</v>
      </c>
      <c r="E17" s="117">
        <v>1597</v>
      </c>
      <c r="F17" s="21">
        <f t="shared" si="0"/>
        <v>1.7407512371650936E-2</v>
      </c>
    </row>
    <row r="18" spans="1:6" ht="14.25" customHeight="1" x14ac:dyDescent="0.2">
      <c r="A18" s="105">
        <v>10</v>
      </c>
      <c r="B18" t="s">
        <v>65</v>
      </c>
      <c r="C18" s="116">
        <v>5402</v>
      </c>
      <c r="D18" s="112">
        <v>1533</v>
      </c>
      <c r="E18" s="117">
        <v>6935</v>
      </c>
      <c r="F18" s="21">
        <f t="shared" si="0"/>
        <v>7.5592422227551179E-2</v>
      </c>
    </row>
    <row r="19" spans="1:6" ht="14.25" customHeight="1" x14ac:dyDescent="0.2">
      <c r="A19" s="105">
        <v>11</v>
      </c>
      <c r="B19" t="s">
        <v>66</v>
      </c>
      <c r="C19" s="116">
        <v>2544</v>
      </c>
      <c r="D19" s="112">
        <v>310</v>
      </c>
      <c r="E19" s="117">
        <v>2854</v>
      </c>
      <c r="F19" s="21">
        <f t="shared" si="0"/>
        <v>3.110897952955026E-2</v>
      </c>
    </row>
    <row r="20" spans="1:6" ht="14.25" customHeight="1" x14ac:dyDescent="0.2">
      <c r="A20" s="105">
        <v>12</v>
      </c>
      <c r="B20" t="s">
        <v>67</v>
      </c>
      <c r="C20" s="116">
        <v>495</v>
      </c>
      <c r="D20" s="112">
        <v>217</v>
      </c>
      <c r="E20" s="117">
        <v>712</v>
      </c>
      <c r="F20" s="21">
        <f t="shared" si="0"/>
        <v>7.7608946829151315E-3</v>
      </c>
    </row>
    <row r="21" spans="1:6" ht="14.25" customHeight="1" x14ac:dyDescent="0.2">
      <c r="A21" s="105">
        <v>13</v>
      </c>
      <c r="B21" t="s">
        <v>68</v>
      </c>
      <c r="C21" s="116"/>
      <c r="D21" s="112">
        <v>4</v>
      </c>
      <c r="E21" s="117">
        <v>4</v>
      </c>
      <c r="F21" s="21">
        <f t="shared" si="0"/>
        <v>4.3600531926489505E-5</v>
      </c>
    </row>
    <row r="22" spans="1:6" ht="14.25" customHeight="1" x14ac:dyDescent="0.2">
      <c r="A22" s="105">
        <v>14</v>
      </c>
      <c r="B22" t="s">
        <v>69</v>
      </c>
      <c r="C22" s="116">
        <v>385</v>
      </c>
      <c r="D22" s="112">
        <v>82</v>
      </c>
      <c r="E22" s="117">
        <v>467</v>
      </c>
      <c r="F22" s="21">
        <f t="shared" si="0"/>
        <v>5.0903621024176492E-3</v>
      </c>
    </row>
    <row r="23" spans="1:6" ht="14.25" customHeight="1" x14ac:dyDescent="0.2">
      <c r="A23" s="105">
        <v>15</v>
      </c>
      <c r="B23" t="s">
        <v>70</v>
      </c>
      <c r="C23" s="116">
        <v>38</v>
      </c>
      <c r="D23" s="112">
        <v>1</v>
      </c>
      <c r="E23" s="117">
        <v>39</v>
      </c>
      <c r="F23" s="21">
        <f t="shared" si="0"/>
        <v>4.2510518628327266E-4</v>
      </c>
    </row>
    <row r="24" spans="1:6" ht="14.25" customHeight="1" x14ac:dyDescent="0.2">
      <c r="A24" s="105">
        <v>16</v>
      </c>
      <c r="B24" t="s">
        <v>71</v>
      </c>
      <c r="C24" s="116">
        <v>781</v>
      </c>
      <c r="D24" s="112">
        <v>1302</v>
      </c>
      <c r="E24" s="117">
        <v>2083</v>
      </c>
      <c r="F24" s="21">
        <f t="shared" si="0"/>
        <v>2.2704977000719408E-2</v>
      </c>
    </row>
    <row r="25" spans="1:6" ht="14.25" customHeight="1" x14ac:dyDescent="0.2">
      <c r="A25" s="105">
        <v>17</v>
      </c>
      <c r="B25" t="s">
        <v>72</v>
      </c>
      <c r="C25" s="116">
        <v>93</v>
      </c>
      <c r="D25" s="112">
        <v>82</v>
      </c>
      <c r="E25" s="117">
        <v>175</v>
      </c>
      <c r="F25" s="21">
        <f t="shared" si="0"/>
        <v>1.9075232717839158E-3</v>
      </c>
    </row>
    <row r="26" spans="1:6" ht="14.25" customHeight="1" x14ac:dyDescent="0.2">
      <c r="A26" s="105">
        <v>18</v>
      </c>
      <c r="B26" t="s">
        <v>12</v>
      </c>
      <c r="C26" s="116">
        <v>4753</v>
      </c>
      <c r="D26" s="112">
        <v>769</v>
      </c>
      <c r="E26" s="117">
        <v>5522</v>
      </c>
      <c r="F26" s="21">
        <f t="shared" si="0"/>
        <v>6.0190534324518756E-2</v>
      </c>
    </row>
    <row r="27" spans="1:6" ht="14.25" customHeight="1" x14ac:dyDescent="0.2">
      <c r="A27" s="105">
        <v>19</v>
      </c>
      <c r="B27" t="s">
        <v>73</v>
      </c>
      <c r="C27" s="116">
        <v>418</v>
      </c>
      <c r="D27" s="112">
        <v>31</v>
      </c>
      <c r="E27" s="117">
        <v>449</v>
      </c>
      <c r="F27" s="21">
        <f t="shared" si="0"/>
        <v>4.8941597087484466E-3</v>
      </c>
    </row>
    <row r="28" spans="1:6" ht="14.25" customHeight="1" x14ac:dyDescent="0.2">
      <c r="A28" s="105">
        <v>20</v>
      </c>
      <c r="B28" t="s">
        <v>74</v>
      </c>
      <c r="C28" s="116">
        <v>110</v>
      </c>
      <c r="D28" s="112">
        <v>125</v>
      </c>
      <c r="E28" s="117">
        <v>235</v>
      </c>
      <c r="F28" s="21">
        <f t="shared" si="0"/>
        <v>2.5615312506812584E-3</v>
      </c>
    </row>
    <row r="29" spans="1:6" ht="14.25" customHeight="1" x14ac:dyDescent="0.2">
      <c r="A29" s="105">
        <v>21</v>
      </c>
      <c r="B29" t="s">
        <v>75</v>
      </c>
      <c r="C29" s="116">
        <v>1</v>
      </c>
      <c r="D29" s="112"/>
      <c r="E29" s="117">
        <v>1</v>
      </c>
      <c r="F29" s="21">
        <f t="shared" si="0"/>
        <v>1.0900132981622376E-5</v>
      </c>
    </row>
    <row r="30" spans="1:6" ht="14.25" customHeight="1" x14ac:dyDescent="0.2">
      <c r="A30" s="105">
        <v>22</v>
      </c>
      <c r="B30" t="s">
        <v>76</v>
      </c>
      <c r="C30" s="116">
        <v>77</v>
      </c>
      <c r="D30" s="112">
        <v>264</v>
      </c>
      <c r="E30" s="117">
        <v>341</v>
      </c>
      <c r="F30" s="21">
        <f t="shared" si="0"/>
        <v>3.7169453467332299E-3</v>
      </c>
    </row>
    <row r="31" spans="1:6" ht="14.25" customHeight="1" x14ac:dyDescent="0.2">
      <c r="A31" s="105">
        <v>23</v>
      </c>
      <c r="B31" t="s">
        <v>77</v>
      </c>
      <c r="C31" s="116">
        <v>6280</v>
      </c>
      <c r="D31" s="112">
        <v>185</v>
      </c>
      <c r="E31" s="117">
        <v>6465</v>
      </c>
      <c r="F31" s="21">
        <f t="shared" si="0"/>
        <v>7.046935972618866E-2</v>
      </c>
    </row>
    <row r="32" spans="1:6" ht="14.25" customHeight="1" x14ac:dyDescent="0.2">
      <c r="A32" s="105">
        <v>24</v>
      </c>
      <c r="B32" t="s">
        <v>78</v>
      </c>
      <c r="C32" s="116">
        <v>797</v>
      </c>
      <c r="D32" s="112">
        <v>226</v>
      </c>
      <c r="E32" s="117">
        <v>1023</v>
      </c>
      <c r="F32" s="21">
        <f t="shared" si="0"/>
        <v>1.115083604019969E-2</v>
      </c>
    </row>
    <row r="33" spans="1:10" ht="14.25" customHeight="1" x14ac:dyDescent="0.2">
      <c r="A33" s="105">
        <v>25</v>
      </c>
      <c r="B33" t="s">
        <v>79</v>
      </c>
      <c r="C33" s="116">
        <v>4950</v>
      </c>
      <c r="D33" s="112">
        <v>775</v>
      </c>
      <c r="E33" s="117">
        <v>5725</v>
      </c>
      <c r="F33" s="21">
        <f t="shared" si="0"/>
        <v>6.24032613197881E-2</v>
      </c>
    </row>
    <row r="34" spans="1:10" ht="14.25" customHeight="1" x14ac:dyDescent="0.2">
      <c r="A34" s="105">
        <v>26</v>
      </c>
      <c r="B34" t="s">
        <v>80</v>
      </c>
      <c r="C34" s="116">
        <v>160</v>
      </c>
      <c r="D34" s="112">
        <v>85</v>
      </c>
      <c r="E34" s="117">
        <v>245</v>
      </c>
      <c r="F34" s="21">
        <f t="shared" si="0"/>
        <v>2.6705325804974819E-3</v>
      </c>
    </row>
    <row r="35" spans="1:10" ht="14.25" customHeight="1" x14ac:dyDescent="0.2">
      <c r="A35" s="105">
        <v>27</v>
      </c>
      <c r="B35" t="s">
        <v>81</v>
      </c>
      <c r="C35" s="116">
        <v>3409</v>
      </c>
      <c r="D35" s="112">
        <v>241</v>
      </c>
      <c r="E35" s="117">
        <v>3650</v>
      </c>
      <c r="F35" s="21">
        <f t="shared" si="0"/>
        <v>3.9785485382921669E-2</v>
      </c>
    </row>
    <row r="36" spans="1:10" ht="14.25" customHeight="1" x14ac:dyDescent="0.2">
      <c r="A36" s="105">
        <v>28</v>
      </c>
      <c r="B36" t="s">
        <v>82</v>
      </c>
      <c r="C36" s="116">
        <v>811</v>
      </c>
      <c r="D36" s="112">
        <v>227</v>
      </c>
      <c r="E36" s="117">
        <v>1038</v>
      </c>
      <c r="F36" s="21">
        <f t="shared" si="0"/>
        <v>1.1314338034924026E-2</v>
      </c>
    </row>
    <row r="37" spans="1:10" ht="14.25" customHeight="1" x14ac:dyDescent="0.2">
      <c r="A37" s="105">
        <v>29</v>
      </c>
      <c r="B37" t="s">
        <v>83</v>
      </c>
      <c r="C37" s="116"/>
      <c r="D37" s="112">
        <v>11</v>
      </c>
      <c r="E37" s="117">
        <v>11</v>
      </c>
      <c r="F37" s="21">
        <f t="shared" si="0"/>
        <v>1.1990146279784614E-4</v>
      </c>
    </row>
    <row r="38" spans="1:10" ht="14.25" customHeight="1" x14ac:dyDescent="0.2">
      <c r="A38" s="105">
        <v>30</v>
      </c>
      <c r="B38" t="s">
        <v>54</v>
      </c>
      <c r="C38" s="116">
        <v>1067</v>
      </c>
      <c r="D38" s="112">
        <v>87</v>
      </c>
      <c r="E38" s="117">
        <v>1154</v>
      </c>
      <c r="F38" s="21">
        <f t="shared" si="0"/>
        <v>1.2578753460792222E-2</v>
      </c>
    </row>
    <row r="39" spans="1:10" ht="14.25" customHeight="1" x14ac:dyDescent="0.2">
      <c r="A39" s="105">
        <v>31</v>
      </c>
      <c r="B39" t="s">
        <v>84</v>
      </c>
      <c r="C39" s="116">
        <v>11936</v>
      </c>
      <c r="D39" s="112">
        <v>318</v>
      </c>
      <c r="E39" s="117">
        <v>12254</v>
      </c>
      <c r="F39" s="21">
        <f t="shared" si="0"/>
        <v>0.13357022955680059</v>
      </c>
    </row>
    <row r="40" spans="1:10" ht="14.25" customHeight="1" x14ac:dyDescent="0.2">
      <c r="A40" s="105">
        <v>32</v>
      </c>
      <c r="B40" t="s">
        <v>85</v>
      </c>
      <c r="C40" s="116">
        <v>4457</v>
      </c>
      <c r="D40" s="112">
        <v>439</v>
      </c>
      <c r="E40" s="117">
        <v>4896</v>
      </c>
      <c r="F40" s="21">
        <f t="shared" si="0"/>
        <v>5.3367051078023149E-2</v>
      </c>
    </row>
    <row r="41" spans="1:10" ht="14.25" customHeight="1" x14ac:dyDescent="0.2">
      <c r="A41" s="105">
        <v>33</v>
      </c>
      <c r="B41" t="s">
        <v>86</v>
      </c>
      <c r="C41" s="116">
        <v>435</v>
      </c>
      <c r="D41" s="112">
        <v>77</v>
      </c>
      <c r="E41" s="117">
        <v>512</v>
      </c>
      <c r="F41" s="21">
        <f t="shared" si="0"/>
        <v>5.5808680865906566E-3</v>
      </c>
    </row>
    <row r="42" spans="1:10" ht="14.25" customHeight="1" x14ac:dyDescent="0.2">
      <c r="A42" s="105">
        <v>34</v>
      </c>
      <c r="B42" t="s">
        <v>88</v>
      </c>
      <c r="C42" s="116">
        <v>30</v>
      </c>
      <c r="D42" s="112">
        <v>16</v>
      </c>
      <c r="E42" s="117">
        <v>46</v>
      </c>
      <c r="F42" s="21">
        <f t="shared" si="0"/>
        <v>5.0140611715462924E-4</v>
      </c>
    </row>
    <row r="43" spans="1:10" ht="14.25" customHeight="1" x14ac:dyDescent="0.2">
      <c r="A43" s="105">
        <v>35</v>
      </c>
      <c r="B43" t="s">
        <v>87</v>
      </c>
      <c r="C43" s="116">
        <v>1555</v>
      </c>
      <c r="D43" s="112">
        <v>326</v>
      </c>
      <c r="E43" s="117">
        <v>1881</v>
      </c>
      <c r="F43" s="21">
        <f t="shared" si="0"/>
        <v>2.0503150138431687E-2</v>
      </c>
    </row>
    <row r="44" spans="1:10" x14ac:dyDescent="0.2">
      <c r="A44" s="105"/>
      <c r="B44" s="108" t="s">
        <v>57</v>
      </c>
      <c r="C44" s="118">
        <v>72850</v>
      </c>
      <c r="D44" s="119">
        <v>18892</v>
      </c>
      <c r="E44" s="120">
        <v>91742</v>
      </c>
      <c r="F44" s="21">
        <f>SUM(F9:F43)</f>
        <v>0.99999999999999989</v>
      </c>
      <c r="G44" s="109"/>
    </row>
    <row r="45" spans="1:10" x14ac:dyDescent="0.2">
      <c r="A45" s="106"/>
    </row>
    <row r="46" spans="1:10" x14ac:dyDescent="0.2">
      <c r="A46" s="1" t="s">
        <v>22</v>
      </c>
      <c r="B46" s="103"/>
    </row>
    <row r="47" spans="1:10" x14ac:dyDescent="0.2">
      <c r="A47" s="1" t="s">
        <v>21</v>
      </c>
      <c r="J47" s="104"/>
    </row>
    <row r="48" spans="1:10" x14ac:dyDescent="0.2">
      <c r="A48" s="1" t="s">
        <v>17</v>
      </c>
    </row>
  </sheetData>
  <sortState ref="B9:E49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  <oddFooter>&amp;C&amp;1#&amp;"Calibri"&amp;12&amp;K008000Internal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zoomScaleNormal="100" zoomScalePageLayoutView="70" workbookViewId="0">
      <selection activeCell="E11" sqref="E11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1" t="s">
        <v>55</v>
      </c>
      <c r="B2" s="121"/>
      <c r="C2" s="121"/>
      <c r="D2" s="121"/>
      <c r="E2" s="121"/>
      <c r="F2" s="121"/>
      <c r="G2" s="121"/>
      <c r="H2" s="121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July 31, 2020</v>
      </c>
      <c r="B6" s="25"/>
      <c r="C6" s="25"/>
      <c r="D6" s="70"/>
      <c r="E6" s="70"/>
      <c r="F6" s="70"/>
      <c r="G6" s="25"/>
      <c r="H6" s="25"/>
      <c r="I6" s="25"/>
    </row>
    <row r="7" spans="1:9" ht="18" customHeight="1" x14ac:dyDescent="0.25">
      <c r="B7" s="27"/>
      <c r="C7" s="27"/>
      <c r="D7" s="58"/>
      <c r="E7" s="58"/>
      <c r="F7" s="59"/>
      <c r="G7" s="59"/>
      <c r="H7" s="27"/>
    </row>
    <row r="8" spans="1:9" ht="18" customHeight="1" x14ac:dyDescent="0.25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 x14ac:dyDescent="0.3">
      <c r="B9" s="27"/>
      <c r="C9" s="27"/>
      <c r="D9" s="58"/>
      <c r="E9" s="58"/>
      <c r="F9" s="65"/>
      <c r="G9" s="65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 x14ac:dyDescent="0.25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2">
        <f>REC_programs_detail!B23</f>
        <v>3069</v>
      </c>
      <c r="C13" s="43">
        <f>IF(B13=0,0,B13/'Summary Load Customers '!$B$22)</f>
        <v>1.0112692763938315E-2</v>
      </c>
      <c r="D13" s="42">
        <f>REC_programs_detail!C23</f>
        <v>34</v>
      </c>
      <c r="E13" s="43">
        <f>IF(D13=0,0,D13/('Summary Load Customers '!$D$22+'Summary Load Customers '!$F$22))</f>
        <v>8.9063523248199088E-4</v>
      </c>
      <c r="F13" s="42">
        <f>B13+D13</f>
        <v>3103</v>
      </c>
      <c r="G13" s="43">
        <f>IF(F13=0,0,F13/'Summary Load Customers '!$H$22)</f>
        <v>9.0822613455093584E-3</v>
      </c>
    </row>
    <row r="14" spans="1:9" ht="15.75" customHeight="1" x14ac:dyDescent="0.25">
      <c r="G14" s="49"/>
      <c r="H14" s="27"/>
    </row>
    <row r="15" spans="1:9" ht="15.75" customHeight="1" x14ac:dyDescent="0.25">
      <c r="A15" s="99" t="str">
        <f>"As the above table shows, "&amp;TEXT(F13,"0,000")&amp;" of UI's customers, or "&amp;TEXT(G13,"0.0%")&amp;" are participating in the CTCleanEnergyOptions Program."</f>
        <v>As the above table shows, 3,103 of UI's customers, or 0.9% are participating in the CTCleanEnergyOptions Program.</v>
      </c>
      <c r="G15" s="49"/>
      <c r="H15" s="27"/>
    </row>
    <row r="16" spans="1:9" ht="15.75" customHeight="1" x14ac:dyDescent="0.25">
      <c r="G16" s="49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 x14ac:dyDescent="0.25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2">
        <f>REC_programs_detail!B29</f>
        <v>572</v>
      </c>
      <c r="C20" s="43">
        <f>IF(B20=0,0,B20/'Summary Load Customers '!$B$22)</f>
        <v>1.8848029524186109E-3</v>
      </c>
      <c r="D20" s="42">
        <f>REC_programs_detail!C29</f>
        <v>55</v>
      </c>
      <c r="E20" s="43">
        <f>IF(D20=0,0,D20/('Summary Load Customers '!$D$22+'Summary Load Customers '!$F$22))</f>
        <v>1.4407334643091029E-3</v>
      </c>
      <c r="F20" s="42">
        <f>B20+D20</f>
        <v>627</v>
      </c>
      <c r="G20" s="43">
        <f>IF(F20=0,0,F20/'Summary Load Customers '!$H$22)</f>
        <v>1.8351846160600605E-3</v>
      </c>
    </row>
    <row r="21" spans="1:9" ht="18" customHeight="1" x14ac:dyDescent="0.2">
      <c r="B21" s="48"/>
      <c r="C21" s="47"/>
      <c r="D21" s="48"/>
      <c r="E21" s="47"/>
      <c r="F21" s="48"/>
      <c r="G21" s="47"/>
      <c r="H21" s="48"/>
      <c r="I21" s="47"/>
    </row>
    <row r="22" spans="1:9" ht="18" customHeight="1" x14ac:dyDescent="0.2">
      <c r="A22" s="99" t="str">
        <f>"As the above table shows, "&amp;TEXT(F20,"0,000")&amp;" of UI's customers, or "&amp;TEXT(G20,"0.0%")&amp;" are participating in the REC only program."</f>
        <v>As the above table shows, 0,627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 x14ac:dyDescent="0.2">
      <c r="A23" s="45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 x14ac:dyDescent="0.2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2">
        <f>B13+B20</f>
        <v>3641</v>
      </c>
      <c r="C27" s="43">
        <f>IF(B27=0,0,B27/'Summary Load Customers '!$B$22)</f>
        <v>1.1997495716356926E-2</v>
      </c>
      <c r="D27" s="42">
        <f>D13+D20</f>
        <v>89</v>
      </c>
      <c r="E27" s="43">
        <f>IF(D27=0,0,D27/('Summary Load Customers '!$D$22+'Summary Load Customers '!$F$22))</f>
        <v>2.3313686967910935E-3</v>
      </c>
      <c r="F27" s="42">
        <f>B27+D27</f>
        <v>3730</v>
      </c>
      <c r="G27" s="43">
        <f>IF(F27=0,0,F27/'Summary Load Customers '!$H$22)</f>
        <v>1.0917445961569419E-2</v>
      </c>
    </row>
    <row r="28" spans="1:9" ht="15" x14ac:dyDescent="0.25">
      <c r="G28" s="49"/>
      <c r="H28" s="27"/>
    </row>
    <row r="29" spans="1:9" ht="15" x14ac:dyDescent="0.25">
      <c r="A29" s="99" t="str">
        <f>"As the above table shows, "&amp;TEXT(F27,"0,000")&amp;" of UI's customers, or "&amp;TEXT(G27,"0.0%")&amp;" are participating in the combined REC programs."</f>
        <v>As the above table shows, 3,730 of UI's customers, or 1.1% are participating in the combined REC programs.</v>
      </c>
      <c r="G29" s="49"/>
      <c r="H29" s="27"/>
    </row>
    <row r="31" spans="1:9" ht="13.5" x14ac:dyDescent="0.2">
      <c r="A31" s="66" t="s">
        <v>31</v>
      </c>
    </row>
    <row r="32" spans="1:9" ht="13.5" x14ac:dyDescent="0.2">
      <c r="A32" s="66"/>
    </row>
    <row r="33" spans="1:1" ht="13.5" x14ac:dyDescent="0.2">
      <c r="A33" s="66" t="s">
        <v>53</v>
      </c>
    </row>
    <row r="34" spans="1:1" x14ac:dyDescent="0.2">
      <c r="A34" s="67" t="s">
        <v>51</v>
      </c>
    </row>
    <row r="36" spans="1:1" x14ac:dyDescent="0.2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  <oddFooter>&amp;C&amp;1#&amp;"Calibri"&amp;12&amp;K008000Internal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showZeros="0" topLeftCell="A17" zoomScale="110" zoomScaleNormal="110" workbookViewId="0">
      <selection activeCell="B29" sqref="B29"/>
    </sheetView>
  </sheetViews>
  <sheetFormatPr defaultColWidth="9.140625" defaultRowHeight="11.25" x14ac:dyDescent="0.2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 x14ac:dyDescent="0.2">
      <c r="A1" s="122" t="str">
        <f>'Summary Load Customers '!A1</f>
        <v>The United Illuminating Company</v>
      </c>
      <c r="B1" s="122"/>
      <c r="C1" s="122"/>
      <c r="D1" s="122"/>
      <c r="E1" s="71"/>
      <c r="F1" s="71"/>
      <c r="G1" s="72"/>
    </row>
    <row r="2" spans="1:9" s="8" customFormat="1" ht="18" customHeight="1" x14ac:dyDescent="0.2">
      <c r="A2" s="123" t="s">
        <v>55</v>
      </c>
      <c r="B2" s="123"/>
      <c r="C2" s="123"/>
      <c r="D2" s="123"/>
      <c r="E2" s="23"/>
      <c r="F2" s="23"/>
      <c r="G2" s="24"/>
      <c r="H2" s="25"/>
      <c r="I2" s="25"/>
    </row>
    <row r="3" spans="1:9" s="73" customFormat="1" ht="15" customHeight="1" x14ac:dyDescent="0.2">
      <c r="A3" s="122" t="s">
        <v>34</v>
      </c>
      <c r="B3" s="122"/>
      <c r="C3" s="122"/>
      <c r="D3" s="122"/>
      <c r="E3" s="71"/>
      <c r="F3" s="71"/>
      <c r="G3" s="72"/>
    </row>
    <row r="4" spans="1:9" s="73" customFormat="1" ht="15" customHeight="1" x14ac:dyDescent="0.2">
      <c r="A4" s="122" t="s">
        <v>1</v>
      </c>
      <c r="B4" s="122"/>
      <c r="C4" s="122"/>
      <c r="D4" s="122"/>
      <c r="E4" s="71"/>
      <c r="F4" s="71"/>
      <c r="G4" s="72"/>
    </row>
    <row r="5" spans="1:9" s="73" customFormat="1" ht="15" customHeight="1" x14ac:dyDescent="0.2">
      <c r="A5" s="122" t="str">
        <f>'Summary Load Customers '!A6</f>
        <v>Data as of July 31, 2020</v>
      </c>
      <c r="B5" s="122"/>
      <c r="C5" s="122"/>
      <c r="D5" s="122"/>
      <c r="E5" s="71"/>
      <c r="F5" s="71"/>
      <c r="G5" s="72"/>
    </row>
    <row r="6" spans="1:9" x14ac:dyDescent="0.2">
      <c r="C6" s="75"/>
      <c r="D6" s="75"/>
      <c r="E6" s="75"/>
      <c r="F6" s="75"/>
      <c r="G6" s="75"/>
    </row>
    <row r="7" spans="1:9" s="81" customFormat="1" ht="22.5" x14ac:dyDescent="0.2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 x14ac:dyDescent="0.2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 x14ac:dyDescent="0.2">
      <c r="A9" s="82" t="s">
        <v>14</v>
      </c>
      <c r="B9" s="84">
        <v>112</v>
      </c>
      <c r="C9" s="84">
        <v>2</v>
      </c>
      <c r="D9" s="85">
        <f>SUM(B9:C9)</f>
        <v>114</v>
      </c>
      <c r="E9" s="87"/>
      <c r="F9" s="87"/>
      <c r="G9" s="86"/>
      <c r="H9" s="75"/>
    </row>
    <row r="10" spans="1:9" x14ac:dyDescent="0.2">
      <c r="A10" s="82" t="s">
        <v>15</v>
      </c>
      <c r="B10" s="84">
        <v>2518</v>
      </c>
      <c r="C10" s="84">
        <v>31</v>
      </c>
      <c r="D10" s="85">
        <f>SUM(B10:C10)</f>
        <v>2549</v>
      </c>
      <c r="E10" s="88"/>
      <c r="F10" s="89"/>
      <c r="G10" s="86"/>
      <c r="H10" s="75"/>
    </row>
    <row r="11" spans="1:9" x14ac:dyDescent="0.2">
      <c r="A11" s="90" t="s">
        <v>6</v>
      </c>
      <c r="B11" s="91">
        <f>IF(B9+B10=0,0,B9+B10)</f>
        <v>2630</v>
      </c>
      <c r="C11" s="91">
        <f>IF(SUM(C8:C10)=0,0,SUM(C8:C10))</f>
        <v>33</v>
      </c>
      <c r="D11" s="91">
        <f>IF(SUM(D8:D10)=0,0,SUM(D8:D10))</f>
        <v>2663</v>
      </c>
      <c r="E11" s="88"/>
      <c r="F11" s="89"/>
      <c r="G11" s="86"/>
      <c r="H11" s="75"/>
    </row>
    <row r="12" spans="1:9" x14ac:dyDescent="0.2">
      <c r="A12" s="75"/>
      <c r="B12" s="92"/>
      <c r="C12" s="92"/>
      <c r="D12" s="92"/>
      <c r="E12" s="88"/>
      <c r="F12" s="89"/>
      <c r="G12" s="93"/>
      <c r="H12" s="75"/>
    </row>
    <row r="13" spans="1:9" ht="22.5" x14ac:dyDescent="0.2">
      <c r="A13" s="76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 x14ac:dyDescent="0.2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 x14ac:dyDescent="0.2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 x14ac:dyDescent="0.2">
      <c r="A16" s="82" t="s">
        <v>15</v>
      </c>
      <c r="B16" s="84">
        <v>437</v>
      </c>
      <c r="C16" s="84">
        <v>1</v>
      </c>
      <c r="D16" s="85">
        <f>SUM(B16:C16)</f>
        <v>438</v>
      </c>
      <c r="E16" s="88"/>
      <c r="F16" s="89"/>
      <c r="G16" s="86"/>
      <c r="H16" s="75"/>
    </row>
    <row r="17" spans="1:8" x14ac:dyDescent="0.2">
      <c r="A17" s="90" t="str">
        <f>A11</f>
        <v>Total</v>
      </c>
      <c r="B17" s="91">
        <f>IF(B15+B16=0,0,B15+B16)</f>
        <v>439</v>
      </c>
      <c r="C17" s="91">
        <f>IF(SUM(C14:C16)=0,0,SUM(C14:C16))</f>
        <v>1</v>
      </c>
      <c r="D17" s="91">
        <f>IF(SUM(D14:D16)=0,0,SUM(D14:D16))</f>
        <v>440</v>
      </c>
      <c r="E17" s="88"/>
      <c r="F17" s="89"/>
      <c r="G17" s="86"/>
      <c r="H17" s="75"/>
    </row>
    <row r="18" spans="1:8" x14ac:dyDescent="0.2">
      <c r="A18" s="75"/>
      <c r="B18" s="75"/>
      <c r="C18" s="75"/>
      <c r="D18" s="98"/>
      <c r="E18" s="88"/>
      <c r="F18" s="89"/>
      <c r="G18" s="93"/>
      <c r="H18" s="75"/>
    </row>
    <row r="19" spans="1:8" ht="22.5" x14ac:dyDescent="0.2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 x14ac:dyDescent="0.2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 x14ac:dyDescent="0.2">
      <c r="A21" s="82" t="s">
        <v>14</v>
      </c>
      <c r="B21" s="96">
        <f>IF(B9+B15=0,0,B9+B15)</f>
        <v>114</v>
      </c>
      <c r="C21" s="96">
        <f>IF(C9+C15=0,0,C9+C15)</f>
        <v>2</v>
      </c>
      <c r="D21" s="85">
        <f t="shared" si="0"/>
        <v>116</v>
      </c>
      <c r="E21" s="86"/>
      <c r="F21" s="93"/>
      <c r="G21" s="93"/>
      <c r="H21" s="75"/>
    </row>
    <row r="22" spans="1:8" x14ac:dyDescent="0.2">
      <c r="A22" s="82" t="s">
        <v>15</v>
      </c>
      <c r="B22" s="96">
        <f>IF(B10+B16=0,0,B10+B16)</f>
        <v>2955</v>
      </c>
      <c r="C22" s="96">
        <f>IF(C10+C16=0,0,C10+C16)</f>
        <v>32</v>
      </c>
      <c r="D22" s="85">
        <f>IF(D10+D16=0,0,D10+D16)</f>
        <v>2987</v>
      </c>
      <c r="E22" s="75"/>
      <c r="F22" s="93"/>
      <c r="G22" s="93"/>
      <c r="H22" s="75"/>
    </row>
    <row r="23" spans="1:8" x14ac:dyDescent="0.2">
      <c r="A23" s="90" t="str">
        <f>A11</f>
        <v>Total</v>
      </c>
      <c r="B23" s="91">
        <f>IF(B21+B22=0,0,B21+B22)</f>
        <v>3069</v>
      </c>
      <c r="C23" s="91">
        <f>IF(SUM(C20:C22)=0,0,SUM(C20:C22))</f>
        <v>34</v>
      </c>
      <c r="D23" s="91">
        <f>SUM(D20:D22)</f>
        <v>3103</v>
      </c>
      <c r="E23" s="75"/>
      <c r="F23" s="93"/>
      <c r="G23" s="93"/>
      <c r="H23" s="75"/>
    </row>
    <row r="24" spans="1:8" x14ac:dyDescent="0.2">
      <c r="B24" s="75"/>
      <c r="C24" s="75"/>
      <c r="E24" s="75"/>
      <c r="F24" s="93"/>
      <c r="G24" s="93"/>
      <c r="H24" s="75"/>
    </row>
    <row r="25" spans="1:8" ht="22.5" x14ac:dyDescent="0.2">
      <c r="A25" s="76" t="s">
        <v>37</v>
      </c>
      <c r="B25" s="76" t="s">
        <v>4</v>
      </c>
      <c r="C25" s="76" t="s">
        <v>5</v>
      </c>
      <c r="D25" s="76" t="s">
        <v>32</v>
      </c>
    </row>
    <row r="26" spans="1:8" x14ac:dyDescent="0.2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 x14ac:dyDescent="0.2">
      <c r="A27" s="82" t="s">
        <v>14</v>
      </c>
      <c r="B27" s="84">
        <v>170</v>
      </c>
      <c r="C27" s="84">
        <v>11</v>
      </c>
      <c r="D27" s="85">
        <f>SUM(B27:C27)</f>
        <v>181</v>
      </c>
    </row>
    <row r="28" spans="1:8" x14ac:dyDescent="0.2">
      <c r="A28" s="82" t="s">
        <v>15</v>
      </c>
      <c r="B28" s="84">
        <v>402</v>
      </c>
      <c r="C28" s="84">
        <v>44</v>
      </c>
      <c r="D28" s="85">
        <f>SUM(B28:C28)</f>
        <v>446</v>
      </c>
    </row>
    <row r="29" spans="1:8" x14ac:dyDescent="0.2">
      <c r="A29" s="90" t="str">
        <f>A23</f>
        <v>Total</v>
      </c>
      <c r="B29" s="110">
        <f>IF(B27+B28=0,0,B27+B28)</f>
        <v>572</v>
      </c>
      <c r="C29" s="91">
        <f>IF(SUM(C26:C28)=0,0,SUM(C26:C28))</f>
        <v>55</v>
      </c>
      <c r="D29" s="91">
        <f>IF(SUM(D26:D28)=0,0,SUM(D26:D28))</f>
        <v>627</v>
      </c>
    </row>
    <row r="31" spans="1:8" x14ac:dyDescent="0.2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 x14ac:dyDescent="0.2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 x14ac:dyDescent="0.2">
      <c r="A33" s="82" t="s">
        <v>14</v>
      </c>
      <c r="B33" s="96">
        <f>B21+B27</f>
        <v>284</v>
      </c>
      <c r="C33" s="96">
        <f t="shared" si="1"/>
        <v>13</v>
      </c>
      <c r="D33" s="85">
        <f t="shared" si="1"/>
        <v>297</v>
      </c>
      <c r="E33" s="75"/>
      <c r="F33" s="75"/>
      <c r="G33" s="75"/>
    </row>
    <row r="34" spans="1:7" x14ac:dyDescent="0.2">
      <c r="A34" s="82" t="s">
        <v>15</v>
      </c>
      <c r="B34" s="96">
        <f>B22+B28</f>
        <v>3357</v>
      </c>
      <c r="C34" s="96">
        <f t="shared" si="1"/>
        <v>76</v>
      </c>
      <c r="D34" s="85">
        <f t="shared" si="1"/>
        <v>3433</v>
      </c>
    </row>
    <row r="35" spans="1:7" x14ac:dyDescent="0.2">
      <c r="A35" s="90" t="str">
        <f>A29</f>
        <v>Total</v>
      </c>
      <c r="B35" s="91">
        <f>IF(B33+B34=0,0,B33+B34)</f>
        <v>3641</v>
      </c>
      <c r="C35" s="91">
        <f>IF(SUM(C32:C34)=0,0,SUM(C32:C34))</f>
        <v>89</v>
      </c>
      <c r="D35" s="91">
        <f>SUM(D32:D34)</f>
        <v>3730</v>
      </c>
    </row>
    <row r="37" spans="1:7" x14ac:dyDescent="0.2">
      <c r="A37" s="97" t="str">
        <f>"In summary, "&amp;TEXT($D$23,"0,000")&amp; " of UI's customers are participating in the CTCleanEnergyOptions Program"</f>
        <v>In summary, 3,103 of UI's customers are participating in the CTCleanEnergyOptions Program</v>
      </c>
    </row>
    <row r="38" spans="1:7" x14ac:dyDescent="0.2">
      <c r="A38" s="97" t="str">
        <f>"In summary, "&amp;TEXT($D$29,"000")&amp; " of UI's customers are participating in RECs only with Sterling Planet"</f>
        <v>In summary, 627 of UI's customers are participating in RECs only with Sterling Planet</v>
      </c>
    </row>
    <row r="39" spans="1:7" x14ac:dyDescent="0.2">
      <c r="A39" s="97" t="str">
        <f>"In summary, "&amp;TEXT($D$35,"0,000")&amp; " of UI's customers are participating in all REC programs"</f>
        <v>In summary, 3,730 of UI's customers are participating in all REC programs</v>
      </c>
    </row>
    <row r="41" spans="1:7" x14ac:dyDescent="0.2">
      <c r="A41" s="98" t="s">
        <v>20</v>
      </c>
    </row>
    <row r="42" spans="1:7" x14ac:dyDescent="0.2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  <oddFooter>&amp;C&amp;1#&amp;"Calibri"&amp;12&amp;K008000Internal Use</oddFoot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2020-08-13T15:25:53Z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</Properties>
</file>