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heckCompatibility="1" defaultThemeVersion="124226"/>
  <bookViews>
    <workbookView xWindow="0" yWindow="0" windowWidth="16875" windowHeight="490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D12" i="7"/>
  <c r="B12" i="7"/>
  <c r="F11" i="7"/>
  <c r="D11" i="7"/>
  <c r="B11" i="7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<sst xmlns="http://schemas.openxmlformats.org/spreadsheetml/2006/main" count="157" uniqueCount="91">
  <si>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</si>
  <si>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</si>
  <si>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</si>
  <si>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</si>
  <si>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</si>
  <si>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</si>
  <si>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</si>
  <si>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</si>
  <si>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</si>
  <si>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</si>
  <si>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</si>
  <si>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</si>
  <si>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</si>
  <si>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</si>
  <si>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</si>
  <si>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</si>
  <si>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</si>
  <si>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</si>
  <si>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</si>
  <si>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</si>
  <si>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</si>
  <si>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</si>
  <si>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</si>
  <si>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</si>
  <si>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</si>
  <si>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</si>
  <si>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</si>
  <si>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</si>
  <si>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</si>
  <si>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</si>
  <si>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</si>
  <si>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</si>
  <si>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</si>
  <si>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</si>
  <si>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</si>
  <si>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</si>
  <si>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</si>
  <si>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</si>
  <si>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</si>
  <si>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</si>
  <si>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</si>
  <si>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</si>
  <si>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</si>
  <si>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</si>
  <si>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</si>
  <si>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</si>
  <si>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</si>
  <si>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</si>
  <si>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</si>
  <si>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</si>
  <si>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</si>
  <si>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</si>
  <si>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</si>
  <si>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</si>
  <si>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</si>
  <si>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</si>
  <si>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</si>
  <si>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</si>
  <si>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</si>
  <si>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</si>
  <si>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</si>
  <si>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</si>
  <si>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</si>
  <si>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</si>
  <si>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</si>
  <si>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</si>
  <si>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</si>
  <si>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</si>
  <si>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</si>
  <si>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</si>
  <si>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</si>
  <si>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</si>
  <si>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</si>
  <si>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</si>
  <si>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</si>
  <si>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</si>
  <si>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</si>
  <si>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</si>
  <si>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</si>
  <si>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</si>
  <si>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</si>
  <si>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</si>
  <si>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</si>
  <si>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</si>
  <si>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</si>
  <si>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</si>
  <si>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</si>
  <si>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</si>
  <si>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</si>
  <si>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</si>
  <si>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August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</si>
</sst>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08_August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08_August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65539.510000000024</v>
          </cell>
        </row>
        <row r="25">
          <cell r="H25">
            <v>156601.00999999989</v>
          </cell>
        </row>
        <row r="26">
          <cell r="H26">
            <v>50983.024000000005</v>
          </cell>
        </row>
        <row r="29">
          <cell r="H29">
            <v>191279.19500000001</v>
          </cell>
        </row>
        <row r="30">
          <cell r="H30">
            <v>58205.069000000003</v>
          </cell>
        </row>
        <row r="31">
          <cell r="H31">
            <v>5196.9759999999987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73442</v>
          </cell>
        </row>
        <row r="19">
          <cell r="B19">
            <v>18977</v>
          </cell>
        </row>
        <row r="20">
          <cell r="B20">
            <v>198</v>
          </cell>
        </row>
        <row r="22">
          <cell r="B22">
            <v>230158</v>
          </cell>
        </row>
        <row r="23">
          <cell r="B23">
            <v>19007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90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65539.510000000024</v>
      </c>
      <c r="C11" s="40">
        <f>IF(B11=0,0,B11/$B$13)</f>
        <v>0.25519757215503452</v>
      </c>
      <c r="D11" s="68">
        <f>[1]Check!$H$25</f>
        <v>156601.00999999989</v>
      </c>
      <c r="E11" s="40">
        <f>IF(D11=0,0,D11/$D$13)</f>
        <v>0.72903434916290222</v>
      </c>
      <c r="F11" s="68">
        <f>[1]Check!$H$26</f>
        <v>50983.024000000005</v>
      </c>
      <c r="G11" s="40">
        <f>IF(F11=0,0,F11/$F$13)</f>
        <v>0.90749419722321123</v>
      </c>
      <c r="H11" s="41">
        <f>IF(B11+D11+F11=0,0,B11+D11+F11)</f>
        <v>273123.54399999988</v>
      </c>
      <c r="I11" s="40">
        <f>IF(H11=0,0,H11/$H$13)</f>
        <v>0.51747076244765522</v>
      </c>
    </row>
    <row r="12" spans="1:15" ht="18" customHeight="1">
      <c r="A12" s="39" t="s">
        <v>11</v>
      </c>
      <c r="B12" s="69">
        <f>[1]Check!$H$29</f>
        <v>191279.19500000001</v>
      </c>
      <c r="C12" s="40">
        <f>IF(B12=0,0,B12/$B$13)</f>
        <v>0.74480242784496553</v>
      </c>
      <c r="D12" s="69">
        <f>[1]Check!$H$30</f>
        <v>58205.069000000003</v>
      </c>
      <c r="E12" s="40">
        <f>IF(D12=0,0,D12/$D$13)</f>
        <v>0.27096565083709773</v>
      </c>
      <c r="F12" s="69">
        <f>[1]Check!$H$31</f>
        <v>5196.9759999999987</v>
      </c>
      <c r="G12" s="40">
        <f>IF(F12=0,0,F12/$F$13)</f>
        <v>9.2505802776788867E-2</v>
      </c>
      <c r="H12" s="102">
        <f>IF(B12+D12+F12=0,0,B12+D12+F12)</f>
        <v>254681.24000000002</v>
      </c>
      <c r="I12" s="40">
        <f>IF(H12=0,0,H12/$H$13)</f>
        <v>0.48252923755234489</v>
      </c>
    </row>
    <row r="13" spans="1:15" ht="18" customHeight="1">
      <c r="A13" s="107" t="s">
        <v>6</v>
      </c>
      <c r="B13" s="42">
        <f>SUM(B11:B12)</f>
        <v>256818.70500000002</v>
      </c>
      <c r="C13" s="43"/>
      <c r="D13" s="42">
        <f>SUM(D11:D12)</f>
        <v>214806.07899999991</v>
      </c>
      <c r="E13" s="43"/>
      <c r="F13" s="42">
        <f>SUM(F11:F12)</f>
        <v>56180</v>
      </c>
      <c r="G13" s="43"/>
      <c r="H13" s="42">
        <f>IF(H11+H12=0,0,H11+H12)</f>
        <v>527804.78399999987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273,124 MWh, or 51.7%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254,681 MHh, or 48.3%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73442</v>
      </c>
      <c r="C20" s="40">
        <f>IF(B20=0,0,B20/$B$22)</f>
        <v>0.24190382081686429</v>
      </c>
      <c r="D20" s="68">
        <f>[2]Summary!$B$19</f>
        <v>18977</v>
      </c>
      <c r="E20" s="53">
        <f>IF(D20=0,0,D20/$D$22)</f>
        <v>0.49960509688289806</v>
      </c>
      <c r="F20" s="68">
        <f>[2]Summary!$B$20</f>
        <v>198</v>
      </c>
      <c r="G20" s="40">
        <f>IF(F20=0,0,F20/$F$22)</f>
        <v>0.90825688073394495</v>
      </c>
      <c r="H20" s="41">
        <f>IF(B20+D20+F20=0,0,B20+D20+F20)</f>
        <v>92617</v>
      </c>
      <c r="I20" s="40">
        <f>IF(H20=0,0,H20/$H$22)</f>
        <v>0.27096681704612613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230158</v>
      </c>
      <c r="C21" s="40">
        <f>IF(B21=0,0,B21/$B$22)</f>
        <v>0.75809617918313565</v>
      </c>
      <c r="D21" s="69">
        <f>[2]Summary!$B$23</f>
        <v>19007</v>
      </c>
      <c r="E21" s="53">
        <f>IF(D21=0,0,D21/$D$22)</f>
        <v>0.50039490311710189</v>
      </c>
      <c r="F21" s="69">
        <f>[2]Summary!$B$24</f>
        <v>20</v>
      </c>
      <c r="G21" s="40">
        <f>IF(F21=0,0,F21/$F$22)</f>
        <v>9.1743119266055051E-2</v>
      </c>
      <c r="H21" s="69">
        <f>IF(B21+D21+F21=0,0,B21+D21+F21)</f>
        <v>249185</v>
      </c>
      <c r="I21" s="40">
        <f>IF(H21=0,0,H21/$H$22)</f>
        <v>0.72903318295387387</v>
      </c>
    </row>
    <row r="22" spans="1:17" ht="18" customHeight="1">
      <c r="A22" s="39" t="str">
        <f>A13</f>
        <v>Total</v>
      </c>
      <c r="B22" s="42">
        <f>SUM(B20:B21)</f>
        <v>303600</v>
      </c>
      <c r="C22" s="55"/>
      <c r="D22" s="42">
        <f>SUM(D20:D21)</f>
        <v>37984</v>
      </c>
      <c r="E22" s="43"/>
      <c r="F22" s="42">
        <f>SUM(F20:F21)</f>
        <v>218</v>
      </c>
      <c r="G22" s="43"/>
      <c r="H22" s="42">
        <f>IF(H20+H21=0,0,H20+H21)</f>
        <v>341802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92,617 of UI's total customers, or 27.1%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249,185 or 72.9%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showZeros="0" topLeftCell="A26" zoomScaleNormal="100" workbookViewId="0">
      <selection activeCell="F37" sqref="F37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August 31,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t="s">
        <v>50</v>
      </c>
      <c r="C9" s="113">
        <v>5637</v>
      </c>
      <c r="D9" s="114">
        <v>722</v>
      </c>
      <c r="E9" s="115">
        <v>6359</v>
      </c>
      <c r="F9" s="21">
        <f t="shared" ref="F9:F43" si="0">IF(E9=0,"",E9/$E$44)</f>
        <v>6.9313945630136681E-2</v>
      </c>
    </row>
    <row r="10" spans="1:11" ht="14.25" customHeight="1">
      <c r="A10" s="105">
        <v>2</v>
      </c>
      <c r="B10" t="s">
        <v>58</v>
      </c>
      <c r="C10" s="116">
        <v>29</v>
      </c>
      <c r="D10" s="112">
        <v>2236</v>
      </c>
      <c r="E10" s="117">
        <v>2265</v>
      </c>
      <c r="F10" s="21">
        <f t="shared" si="0"/>
        <v>2.4688801203374681E-2</v>
      </c>
    </row>
    <row r="11" spans="1:11" ht="14.25" customHeight="1">
      <c r="A11" s="105">
        <v>3</v>
      </c>
      <c r="B11" t="s">
        <v>59</v>
      </c>
      <c r="C11" s="116">
        <v>19</v>
      </c>
      <c r="D11" s="112">
        <v>200</v>
      </c>
      <c r="E11" s="117">
        <v>219</v>
      </c>
      <c r="F11" s="21">
        <f t="shared" si="0"/>
        <v>2.3871291229753005E-3</v>
      </c>
    </row>
    <row r="12" spans="1:11" ht="14.25" customHeight="1">
      <c r="A12" s="105">
        <v>4</v>
      </c>
      <c r="B12" t="s">
        <v>60</v>
      </c>
      <c r="C12" s="116">
        <v>448</v>
      </c>
      <c r="D12" s="112">
        <v>13</v>
      </c>
      <c r="E12" s="117">
        <v>461</v>
      </c>
      <c r="F12" s="21">
        <f t="shared" si="0"/>
        <v>5.0249613045279156E-3</v>
      </c>
    </row>
    <row r="13" spans="1:11" ht="14.25" customHeight="1">
      <c r="A13" s="105">
        <v>5</v>
      </c>
      <c r="B13" t="s">
        <v>61</v>
      </c>
      <c r="C13" s="116">
        <v>5462</v>
      </c>
      <c r="D13" s="112">
        <v>217</v>
      </c>
      <c r="E13" s="117">
        <v>5679</v>
      </c>
      <c r="F13" s="21">
        <f t="shared" si="0"/>
        <v>6.1901855202633471E-2</v>
      </c>
    </row>
    <row r="14" spans="1:11" ht="14.25" customHeight="1">
      <c r="A14" s="105">
        <v>6</v>
      </c>
      <c r="B14" t="s">
        <v>62</v>
      </c>
      <c r="C14" s="116">
        <v>378</v>
      </c>
      <c r="D14" s="112">
        <v>75</v>
      </c>
      <c r="E14" s="117">
        <v>453</v>
      </c>
      <c r="F14" s="21">
        <f t="shared" si="0"/>
        <v>4.9377602406749359E-3</v>
      </c>
    </row>
    <row r="15" spans="1:11" ht="14.25" customHeight="1">
      <c r="A15" s="105">
        <v>7</v>
      </c>
      <c r="B15" t="s">
        <v>63</v>
      </c>
      <c r="C15" s="116">
        <v>764</v>
      </c>
      <c r="D15" s="112">
        <v>4742</v>
      </c>
      <c r="E15" s="117">
        <v>5506</v>
      </c>
      <c r="F15" s="21">
        <f t="shared" si="0"/>
        <v>6.0016132196812802E-2</v>
      </c>
    </row>
    <row r="16" spans="1:11" ht="14.25" customHeight="1">
      <c r="A16" s="105">
        <v>8</v>
      </c>
      <c r="B16" t="s">
        <v>64</v>
      </c>
      <c r="C16" s="116">
        <v>8930</v>
      </c>
      <c r="D16" s="112">
        <v>1556</v>
      </c>
      <c r="E16" s="117">
        <v>10486</v>
      </c>
      <c r="F16" s="21">
        <f t="shared" si="0"/>
        <v>0.11429879444529223</v>
      </c>
    </row>
    <row r="17" spans="1:6" ht="14.25" customHeight="1">
      <c r="A17" s="105">
        <v>9</v>
      </c>
      <c r="B17" t="s">
        <v>56</v>
      </c>
      <c r="C17" s="116">
        <v>199</v>
      </c>
      <c r="D17" s="112">
        <v>1398</v>
      </c>
      <c r="E17" s="117">
        <v>1597</v>
      </c>
      <c r="F17" s="21">
        <f t="shared" si="0"/>
        <v>1.7407512371650936E-2</v>
      </c>
    </row>
    <row r="18" spans="1:6" ht="14.25" customHeight="1">
      <c r="A18" s="105">
        <v>10</v>
      </c>
      <c r="B18" t="s">
        <v>65</v>
      </c>
      <c r="C18" s="116">
        <v>5402</v>
      </c>
      <c r="D18" s="112">
        <v>1533</v>
      </c>
      <c r="E18" s="117">
        <v>6935</v>
      </c>
      <c r="F18" s="21">
        <f t="shared" si="0"/>
        <v>7.5592422227551179E-2</v>
      </c>
    </row>
    <row r="19" spans="1:6" ht="14.25" customHeight="1">
      <c r="A19" s="105">
        <v>11</v>
      </c>
      <c r="B19" t="s">
        <v>66</v>
      </c>
      <c r="C19" s="116">
        <v>2544</v>
      </c>
      <c r="D19" s="112">
        <v>310</v>
      </c>
      <c r="E19" s="117">
        <v>2854</v>
      </c>
      <c r="F19" s="21">
        <f t="shared" si="0"/>
        <v>3.110897952955026E-2</v>
      </c>
    </row>
    <row r="20" spans="1:6" ht="14.25" customHeight="1">
      <c r="A20" s="105">
        <v>12</v>
      </c>
      <c r="B20" t="s">
        <v>67</v>
      </c>
      <c r="C20" s="116">
        <v>495</v>
      </c>
      <c r="D20" s="112">
        <v>217</v>
      </c>
      <c r="E20" s="117">
        <v>712</v>
      </c>
      <c r="F20" s="21">
        <f t="shared" si="0"/>
        <v>7.7608946829151315E-3</v>
      </c>
    </row>
    <row r="21" spans="1:6" ht="14.25" customHeight="1">
      <c r="A21" s="105">
        <v>13</v>
      </c>
      <c r="B21" t="s">
        <v>68</v>
      </c>
      <c r="C21" s="116"/>
      <c r="D21" s="112">
        <v>4</v>
      </c>
      <c r="E21" s="117">
        <v>4</v>
      </c>
      <c r="F21" s="21">
        <f t="shared" si="0"/>
        <v>4.3600531926489505E-5</v>
      </c>
    </row>
    <row r="22" spans="1:6" ht="14.25" customHeight="1">
      <c r="A22" s="105">
        <v>14</v>
      </c>
      <c r="B22" t="s">
        <v>69</v>
      </c>
      <c r="C22" s="116">
        <v>385</v>
      </c>
      <c r="D22" s="112">
        <v>82</v>
      </c>
      <c r="E22" s="117">
        <v>467</v>
      </c>
      <c r="F22" s="21">
        <f t="shared" si="0"/>
        <v>5.0903621024176492E-3</v>
      </c>
    </row>
    <row r="23" spans="1:6" ht="14.25" customHeight="1">
      <c r="A23" s="105">
        <v>15</v>
      </c>
      <c r="B23" t="s">
        <v>70</v>
      </c>
      <c r="C23" s="116">
        <v>38</v>
      </c>
      <c r="D23" s="112">
        <v>1</v>
      </c>
      <c r="E23" s="117">
        <v>39</v>
      </c>
      <c r="F23" s="21">
        <f t="shared" si="0"/>
        <v>4.2510518628327266E-4</v>
      </c>
    </row>
    <row r="24" spans="1:6" ht="14.25" customHeight="1">
      <c r="A24" s="105">
        <v>16</v>
      </c>
      <c r="B24" t="s">
        <v>71</v>
      </c>
      <c r="C24" s="116">
        <v>781</v>
      </c>
      <c r="D24" s="112">
        <v>1302</v>
      </c>
      <c r="E24" s="117">
        <v>2083</v>
      </c>
      <c r="F24" s="21">
        <f t="shared" si="0"/>
        <v>2.2704977000719408E-2</v>
      </c>
    </row>
    <row r="25" spans="1:6" ht="14.25" customHeight="1">
      <c r="A25" s="105">
        <v>17</v>
      </c>
      <c r="B25" t="s">
        <v>72</v>
      </c>
      <c r="C25" s="116">
        <v>93</v>
      </c>
      <c r="D25" s="112">
        <v>82</v>
      </c>
      <c r="E25" s="117">
        <v>175</v>
      </c>
      <c r="F25" s="21">
        <f t="shared" si="0"/>
        <v>1.9075232717839158E-3</v>
      </c>
    </row>
    <row r="26" spans="1:6" ht="14.25" customHeight="1">
      <c r="A26" s="105">
        <v>18</v>
      </c>
      <c r="B26" t="s">
        <v>12</v>
      </c>
      <c r="C26" s="116">
        <v>4753</v>
      </c>
      <c r="D26" s="112">
        <v>769</v>
      </c>
      <c r="E26" s="117">
        <v>5522</v>
      </c>
      <c r="F26" s="21">
        <f t="shared" si="0"/>
        <v>6.0190534324518756E-2</v>
      </c>
    </row>
    <row r="27" spans="1:6" ht="14.25" customHeight="1">
      <c r="A27" s="105">
        <v>19</v>
      </c>
      <c r="B27" t="s">
        <v>73</v>
      </c>
      <c r="C27" s="116">
        <v>418</v>
      </c>
      <c r="D27" s="112">
        <v>31</v>
      </c>
      <c r="E27" s="117">
        <v>449</v>
      </c>
      <c r="F27" s="21">
        <f t="shared" si="0"/>
        <v>4.8941597087484466E-3</v>
      </c>
    </row>
    <row r="28" spans="1:6" ht="14.25" customHeight="1">
      <c r="A28" s="105">
        <v>20</v>
      </c>
      <c r="B28" t="s">
        <v>74</v>
      </c>
      <c r="C28" s="116">
        <v>110</v>
      </c>
      <c r="D28" s="112">
        <v>125</v>
      </c>
      <c r="E28" s="117">
        <v>235</v>
      </c>
      <c r="F28" s="21">
        <f t="shared" si="0"/>
        <v>2.5615312506812584E-3</v>
      </c>
    </row>
    <row r="29" spans="1:6" ht="14.25" customHeight="1">
      <c r="A29" s="105">
        <v>21</v>
      </c>
      <c r="B29" t="s">
        <v>75</v>
      </c>
      <c r="C29" s="116">
        <v>1</v>
      </c>
      <c r="D29" s="112"/>
      <c r="E29" s="117">
        <v>1</v>
      </c>
      <c r="F29" s="21">
        <f t="shared" si="0"/>
        <v>1.0900132981622376E-5</v>
      </c>
    </row>
    <row r="30" spans="1:6" ht="14.25" customHeight="1">
      <c r="A30" s="105">
        <v>22</v>
      </c>
      <c r="B30" t="s">
        <v>76</v>
      </c>
      <c r="C30" s="116">
        <v>77</v>
      </c>
      <c r="D30" s="112">
        <v>264</v>
      </c>
      <c r="E30" s="117">
        <v>341</v>
      </c>
      <c r="F30" s="21">
        <f t="shared" si="0"/>
        <v>3.7169453467332299E-3</v>
      </c>
    </row>
    <row r="31" spans="1:6" ht="14.25" customHeight="1">
      <c r="A31" s="105">
        <v>23</v>
      </c>
      <c r="B31" t="s">
        <v>77</v>
      </c>
      <c r="C31" s="116">
        <v>6280</v>
      </c>
      <c r="D31" s="112">
        <v>185</v>
      </c>
      <c r="E31" s="117">
        <v>6465</v>
      </c>
      <c r="F31" s="21">
        <f t="shared" si="0"/>
        <v>7.046935972618866E-2</v>
      </c>
    </row>
    <row r="32" spans="1:6" ht="14.25" customHeight="1">
      <c r="A32" s="105">
        <v>24</v>
      </c>
      <c r="B32" t="s">
        <v>78</v>
      </c>
      <c r="C32" s="116">
        <v>797</v>
      </c>
      <c r="D32" s="112">
        <v>226</v>
      </c>
      <c r="E32" s="117">
        <v>1023</v>
      </c>
      <c r="F32" s="21">
        <f t="shared" si="0"/>
        <v>1.115083604019969E-2</v>
      </c>
    </row>
    <row r="33" spans="1:10" ht="14.25" customHeight="1">
      <c r="A33" s="105">
        <v>25</v>
      </c>
      <c r="B33" t="s">
        <v>79</v>
      </c>
      <c r="C33" s="116">
        <v>4950</v>
      </c>
      <c r="D33" s="112">
        <v>775</v>
      </c>
      <c r="E33" s="117">
        <v>5725</v>
      </c>
      <c r="F33" s="21">
        <f t="shared" si="0"/>
        <v>6.24032613197881E-2</v>
      </c>
    </row>
    <row r="34" spans="1:10" ht="14.25" customHeight="1">
      <c r="A34" s="105">
        <v>26</v>
      </c>
      <c r="B34" t="s">
        <v>80</v>
      </c>
      <c r="C34" s="116">
        <v>160</v>
      </c>
      <c r="D34" s="112">
        <v>85</v>
      </c>
      <c r="E34" s="117">
        <v>245</v>
      </c>
      <c r="F34" s="21">
        <f t="shared" si="0"/>
        <v>2.6705325804974819E-3</v>
      </c>
    </row>
    <row r="35" spans="1:10" ht="14.25" customHeight="1">
      <c r="A35" s="105">
        <v>27</v>
      </c>
      <c r="B35" t="s">
        <v>81</v>
      </c>
      <c r="C35" s="116">
        <v>3409</v>
      </c>
      <c r="D35" s="112">
        <v>241</v>
      </c>
      <c r="E35" s="117">
        <v>3650</v>
      </c>
      <c r="F35" s="21">
        <f t="shared" si="0"/>
        <v>3.9785485382921669E-2</v>
      </c>
    </row>
    <row r="36" spans="1:10" ht="14.25" customHeight="1">
      <c r="A36" s="105">
        <v>28</v>
      </c>
      <c r="B36" t="s">
        <v>82</v>
      </c>
      <c r="C36" s="116">
        <v>811</v>
      </c>
      <c r="D36" s="112">
        <v>227</v>
      </c>
      <c r="E36" s="117">
        <v>1038</v>
      </c>
      <c r="F36" s="21">
        <f t="shared" si="0"/>
        <v>1.1314338034924026E-2</v>
      </c>
    </row>
    <row r="37" spans="1:10" ht="14.25" customHeight="1">
      <c r="A37" s="105">
        <v>29</v>
      </c>
      <c r="B37" t="s">
        <v>83</v>
      </c>
      <c r="C37" s="116"/>
      <c r="D37" s="112">
        <v>11</v>
      </c>
      <c r="E37" s="117">
        <v>11</v>
      </c>
      <c r="F37" s="21">
        <f t="shared" si="0"/>
        <v>1.1990146279784614E-4</v>
      </c>
    </row>
    <row r="38" spans="1:10" ht="14.25" customHeight="1">
      <c r="A38" s="105">
        <v>30</v>
      </c>
      <c r="B38" t="s">
        <v>54</v>
      </c>
      <c r="C38" s="116">
        <v>1067</v>
      </c>
      <c r="D38" s="112">
        <v>87</v>
      </c>
      <c r="E38" s="117">
        <v>1154</v>
      </c>
      <c r="F38" s="21">
        <f t="shared" si="0"/>
        <v>1.2578753460792222E-2</v>
      </c>
    </row>
    <row r="39" spans="1:10" ht="14.25" customHeight="1">
      <c r="A39" s="105">
        <v>31</v>
      </c>
      <c r="B39" t="s">
        <v>84</v>
      </c>
      <c r="C39" s="116">
        <v>11936</v>
      </c>
      <c r="D39" s="112">
        <v>318</v>
      </c>
      <c r="E39" s="117">
        <v>12254</v>
      </c>
      <c r="F39" s="21">
        <f t="shared" si="0"/>
        <v>0.13357022955680059</v>
      </c>
    </row>
    <row r="40" spans="1:10" ht="14.25" customHeight="1">
      <c r="A40" s="105">
        <v>32</v>
      </c>
      <c r="B40" t="s">
        <v>85</v>
      </c>
      <c r="C40" s="116">
        <v>4457</v>
      </c>
      <c r="D40" s="112">
        <v>439</v>
      </c>
      <c r="E40" s="117">
        <v>4896</v>
      </c>
      <c r="F40" s="21">
        <f t="shared" si="0"/>
        <v>5.3367051078023149E-2</v>
      </c>
    </row>
    <row r="41" spans="1:10" ht="14.25" customHeight="1">
      <c r="A41" s="105">
        <v>33</v>
      </c>
      <c r="B41" t="s">
        <v>86</v>
      </c>
      <c r="C41" s="116">
        <v>435</v>
      </c>
      <c r="D41" s="112">
        <v>77</v>
      </c>
      <c r="E41" s="117">
        <v>512</v>
      </c>
      <c r="F41" s="21">
        <f t="shared" si="0"/>
        <v>5.5808680865906566E-3</v>
      </c>
    </row>
    <row r="42" spans="1:10" ht="14.25" customHeight="1">
      <c r="A42" s="105">
        <v>34</v>
      </c>
      <c r="B42" t="s">
        <v>88</v>
      </c>
      <c r="C42" s="116">
        <v>30</v>
      </c>
      <c r="D42" s="112">
        <v>16</v>
      </c>
      <c r="E42" s="117">
        <v>46</v>
      </c>
      <c r="F42" s="21">
        <f t="shared" si="0"/>
        <v>5.0140611715462924E-4</v>
      </c>
    </row>
    <row r="43" spans="1:10" ht="14.25" customHeight="1">
      <c r="A43" s="105">
        <v>35</v>
      </c>
      <c r="B43" t="s">
        <v>87</v>
      </c>
      <c r="C43" s="116">
        <v>1555</v>
      </c>
      <c r="D43" s="112">
        <v>326</v>
      </c>
      <c r="E43" s="117">
        <v>1881</v>
      </c>
      <c r="F43" s="21">
        <f t="shared" si="0"/>
        <v>2.0503150138431687E-2</v>
      </c>
    </row>
    <row r="44" spans="1:10">
      <c r="A44" s="105"/>
      <c r="B44" s="108" t="s">
        <v>57</v>
      </c>
      <c r="C44" s="118">
        <v>72850</v>
      </c>
      <c r="D44" s="119">
        <v>18892</v>
      </c>
      <c r="E44" s="120">
        <v>91742</v>
      </c>
      <c r="F44" s="21">
        <f>SUM(F9:F43)</f>
        <v>0.99999999999999989</v>
      </c>
      <c r="G44" s="109"/>
    </row>
    <row r="45" spans="1:10">
      <c r="A45" s="106"/>
    </row>
    <row r="46" spans="1:10">
      <c r="A46" s="1" t="s">
        <v>22</v>
      </c>
      <c r="B46" s="103"/>
    </row>
    <row r="47" spans="1:10">
      <c r="A47" s="1" t="s">
        <v>21</v>
      </c>
      <c r="J47" s="104"/>
    </row>
    <row r="48" spans="1:10">
      <c r="A48" s="1" t="s">
        <v>17</v>
      </c>
    </row>
  </sheetData>
  <sortState ref="B9:E49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E11" sqref="E11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August 31,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3069</v>
      </c>
      <c r="C13" s="43">
        <f>IF(B13=0,0,B13/'Summary Load Customers '!$B$22)</f>
        <v>1.0108695652173913E-2</v>
      </c>
      <c r="D13" s="42">
        <f>REC_programs_detail!C23</f>
        <v>34</v>
      </c>
      <c r="E13" s="43">
        <f>IF(D13=0,0,D13/('Summary Load Customers '!$D$22+'Summary Load Customers '!$F$22))</f>
        <v>8.9000575886079259E-4</v>
      </c>
      <c r="F13" s="42">
        <f>B13+D13</f>
        <v>3103</v>
      </c>
      <c r="G13" s="43">
        <f>IF(F13=0,0,F13/'Summary Load Customers '!$H$22)</f>
        <v>9.0783553051181683E-3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3,103 of UI's customers, or 0.9%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572</v>
      </c>
      <c r="C20" s="43">
        <f>IF(B20=0,0,B20/'Summary Load Customers '!$B$22)</f>
        <v>1.8840579710144927E-3</v>
      </c>
      <c r="D20" s="42">
        <f>REC_programs_detail!C29</f>
        <v>55</v>
      </c>
      <c r="E20" s="43">
        <f>IF(D20=0,0,D20/('Summary Load Customers '!$D$22+'Summary Load Customers '!$F$22))</f>
        <v>1.4397151981571646E-3</v>
      </c>
      <c r="F20" s="42">
        <f>B20+D20</f>
        <v>627</v>
      </c>
      <c r="G20" s="43">
        <f>IF(F20=0,0,F20/'Summary Load Customers '!$H$22)</f>
        <v>1.834395351694841E-3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0,627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3641</v>
      </c>
      <c r="C27" s="43">
        <f>IF(B27=0,0,B27/'Summary Load Customers '!$B$22)</f>
        <v>1.1992753623188405E-2</v>
      </c>
      <c r="D27" s="42">
        <f>D13+D20</f>
        <v>89</v>
      </c>
      <c r="E27" s="43">
        <f>IF(D27=0,0,D27/('Summary Load Customers '!$D$22+'Summary Load Customers '!$F$22))</f>
        <v>2.329720957017957E-3</v>
      </c>
      <c r="F27" s="42">
        <f>B27+D27</f>
        <v>3730</v>
      </c>
      <c r="G27" s="43">
        <f>IF(F27=0,0,F27/'Summary Load Customers '!$H$22)</f>
        <v>1.0912750656813009E-2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3,730 of UI's customers, or 1.1%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7" zoomScale="110" zoomScaleNormal="110" workbookViewId="0">
      <selection activeCell="B29" sqref="B2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August 31, 2020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112</v>
      </c>
      <c r="C9" s="84">
        <v>2</v>
      </c>
      <c r="D9" s="85">
        <f>SUM(B9:C9)</f>
        <v>114</v>
      </c>
      <c r="E9" s="87"/>
      <c r="F9" s="87"/>
      <c r="G9" s="86"/>
      <c r="H9" s="75"/>
    </row>
    <row r="10" spans="1:9">
      <c r="A10" s="82" t="s">
        <v>15</v>
      </c>
      <c r="B10" s="84">
        <v>2518</v>
      </c>
      <c r="C10" s="84">
        <v>31</v>
      </c>
      <c r="D10" s="85">
        <f>SUM(B10:C10)</f>
        <v>2549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2630</v>
      </c>
      <c r="C11" s="91">
        <f>IF(SUM(C8:C10)=0,0,SUM(C8:C10))</f>
        <v>33</v>
      </c>
      <c r="D11" s="91">
        <f>IF(SUM(D8:D10)=0,0,SUM(D8:D10))</f>
        <v>2663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437</v>
      </c>
      <c r="C16" s="84">
        <v>1</v>
      </c>
      <c r="D16" s="85">
        <f>SUM(B16:C16)</f>
        <v>438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439</v>
      </c>
      <c r="C17" s="91">
        <f>IF(SUM(C14:C16)=0,0,SUM(C14:C16))</f>
        <v>1</v>
      </c>
      <c r="D17" s="91">
        <f>IF(SUM(D14:D16)=0,0,SUM(D14:D16))</f>
        <v>440</v>
      </c>
      <c r="E17" s="88"/>
      <c r="F17" s="89"/>
      <c r="G17" s="86"/>
      <c r="H17" s="75"/>
    </row>
    <row r="18" spans="1:8">
      <c r="A18" s="75"/>
      <c r="B18" s="75"/>
      <c r="C18" s="75"/>
      <c r="D18" s="98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114</v>
      </c>
      <c r="C21" s="96">
        <f>IF(C9+C15=0,0,C9+C15)</f>
        <v>2</v>
      </c>
      <c r="D21" s="85">
        <f t="shared" si="0"/>
        <v>116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2955</v>
      </c>
      <c r="C22" s="96">
        <f>IF(C10+C16=0,0,C10+C16)</f>
        <v>32</v>
      </c>
      <c r="D22" s="85">
        <f>IF(D10+D16=0,0,D10+D16)</f>
        <v>2987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3069</v>
      </c>
      <c r="C23" s="91">
        <f>IF(SUM(C20:C22)=0,0,SUM(C20:C22))</f>
        <v>34</v>
      </c>
      <c r="D23" s="91">
        <f>SUM(D20:D22)</f>
        <v>3103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170</v>
      </c>
      <c r="C27" s="84">
        <v>11</v>
      </c>
      <c r="D27" s="85">
        <f>SUM(B27:C27)</f>
        <v>181</v>
      </c>
    </row>
    <row r="28" spans="1:8">
      <c r="A28" s="82" t="s">
        <v>15</v>
      </c>
      <c r="B28" s="84">
        <v>402</v>
      </c>
      <c r="C28" s="84">
        <v>44</v>
      </c>
      <c r="D28" s="85">
        <f>SUM(B28:C28)</f>
        <v>446</v>
      </c>
    </row>
    <row r="29" spans="1:8">
      <c r="A29" s="90" t="str">
        <f>A23</f>
        <v>Total</v>
      </c>
      <c r="B29" s="110">
        <f>IF(B27+B28=0,0,B27+B28)</f>
        <v>572</v>
      </c>
      <c r="C29" s="91">
        <f>IF(SUM(C26:C28)=0,0,SUM(C26:C28))</f>
        <v>55</v>
      </c>
      <c r="D29" s="91">
        <f>IF(SUM(D26:D28)=0,0,SUM(D26:D28))</f>
        <v>627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284</v>
      </c>
      <c r="C33" s="96">
        <f t="shared" si="1"/>
        <v>13</v>
      </c>
      <c r="D33" s="85">
        <f t="shared" si="1"/>
        <v>297</v>
      </c>
      <c r="E33" s="75"/>
      <c r="F33" s="75"/>
      <c r="G33" s="75"/>
    </row>
    <row r="34" spans="1:7">
      <c r="A34" s="82" t="s">
        <v>15</v>
      </c>
      <c r="B34" s="96">
        <f>B22+B28</f>
        <v>3357</v>
      </c>
      <c r="C34" s="96">
        <f t="shared" si="1"/>
        <v>76</v>
      </c>
      <c r="D34" s="85">
        <f t="shared" si="1"/>
        <v>3433</v>
      </c>
    </row>
    <row r="35" spans="1:7">
      <c r="A35" s="90" t="str">
        <f>A29</f>
        <v>Total</v>
      </c>
      <c r="B35" s="91">
        <f>IF(B33+B34=0,0,B33+B34)</f>
        <v>3641</v>
      </c>
      <c r="C35" s="91">
        <f>IF(SUM(C32:C34)=0,0,SUM(C32:C34))</f>
        <v>89</v>
      </c>
      <c r="D35" s="91">
        <f>SUM(D32:D34)</f>
        <v>3730</v>
      </c>
    </row>
    <row r="37" spans="1:7">
      <c r="A37" s="97" t="str">
        <f>"In summary, "&amp;TEXT($D$23,"0,000")&amp; " of UI's customers are participating in the CTCleanEnergyOptions Program"</f>
        <v>In summary, 3,103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627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3,730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  <oddFooter>&amp;C&amp;1#&amp;"Calibri"&amp;12&amp;K008000Internal Use</oddFoot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2018-02-15T14:56:05Z</cp:lastPrinted>
  <dcterms:created xsi:type="dcterms:W3CDTF">2009-03-17T13:14:28Z</dcterms:created>
  <dcterms:modified xsi:type="dcterms:W3CDTF">2020-09-08T04:32:37Z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