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10\"/>
    </mc:Choice>
  </mc:AlternateContent>
  <xr:revisionPtr revIDLastSave="0" documentId="10_ncr:100000_{789F1F48-7B1A-48F1-967A-C94F370E4960}" xr6:coauthVersionLast="31" xr6:coauthVersionMax="31" xr10:uidLastSave="{00000000-0000-0000-0000-000000000000}"/>
  <bookViews>
    <workbookView xWindow="0" yWindow="0" windowWidth="20490" windowHeight="6945" tabRatio="838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0" i="7" l="1"/>
  <c r="F21" i="7" l="1"/>
  <c r="D21" i="7"/>
  <c r="B21" i="7"/>
  <c r="F20" i="7"/>
  <c r="D20" i="7"/>
  <c r="F12" i="7"/>
  <c r="D12" i="7"/>
  <c r="F11" i="7"/>
  <c r="D11" i="7"/>
  <c r="B12" i="7"/>
  <c r="B11" i="7"/>
  <c r="F44" i="6" l="1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<sst xmlns="http://schemas.openxmlformats.org/spreadsheetml/2006/main" count="158" uniqueCount="92">
  <si>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</si>
  <si>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</si>
  <si>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</si>
  <si>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</si>
  <si>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</si>
  <si>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</si>
  <si>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</si>
  <si>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</si>
  <si>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</si>
  <si>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</si>
  <si>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</si>
  <si>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</si>
  <si>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</si>
  <si>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</si>
  <si>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</si>
  <si>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</si>
  <si>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</si>
  <si>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</si>
  <si>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</si>
  <si>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</si>
  <si>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</si>
  <si>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</si>
  <si>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</si>
  <si>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</si>
  <si>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</si>
  <si>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</si>
  <si>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</si>
  <si>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</si>
  <si>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</si>
  <si>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</si>
  <si>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</si>
  <si>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</si>
  <si>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</si>
  <si>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</si>
  <si>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</si>
  <si>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</si>
  <si>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</si>
  <si>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</si>
  <si>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</si>
  <si>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</si>
  <si>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</si>
  <si>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</si>
  <si>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</si>
  <si>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</si>
  <si>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</si>
  <si>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</si>
  <si>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</si>
  <si>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</si>
  <si>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</si>
  <si>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</si>
  <si>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</si>
  <si>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</si>
  <si>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</si>
  <si>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</si>
  <si>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</si>
  <si>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</si>
  <si>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</si>
  <si>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</si>
  <si>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</si>
  <si>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</si>
  <si>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</si>
  <si>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</si>
  <si>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</si>
  <si>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</si>
  <si>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</si>
  <si>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</si>
  <si>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</si>
  <si>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</si>
  <si>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</si>
  <si>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</si>
  <si>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</si>
  <si>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</si>
  <si>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</si>
  <si>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</si>
  <si>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</si>
  <si>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</si>
  <si>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</si>
  <si>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</si>
  <si>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</si>
  <si>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</si>
  <si>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</si>
  <si>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</si>
  <si>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</si>
  <si>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</si>
  <si>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</si>
  <si>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</si>
  <si>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</si>
  <si>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</si>
  <si>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</si>
  <si>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</si>
  <si>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</si>
  <si>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Data as of October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</si>
</sst>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10_Octo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10_October_total_load_by_seg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10_October_2020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35623.67500000001</v>
          </cell>
        </row>
        <row r="25">
          <cell r="H25">
            <v>111690.25299999997</v>
          </cell>
        </row>
        <row r="26">
          <cell r="H26">
            <v>63758.070999999996</v>
          </cell>
        </row>
        <row r="30">
          <cell r="H30">
            <v>48912.02399999999</v>
          </cell>
        </row>
        <row r="31">
          <cell r="H31">
            <v>5157.2320000000009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9">
          <cell r="H29">
            <v>107884.147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69868</v>
          </cell>
        </row>
        <row r="19">
          <cell r="B19">
            <v>18298</v>
          </cell>
        </row>
        <row r="20">
          <cell r="B20">
            <v>185</v>
          </cell>
        </row>
        <row r="22">
          <cell r="B22">
            <v>234307</v>
          </cell>
        </row>
        <row r="23">
          <cell r="B23">
            <v>19784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zoomScaleNormal="100" workbookViewId="0">
      <selection activeCell="A7" sqref="A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91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35623.67500000001</v>
      </c>
      <c r="C11" s="40">
        <f>IF(B11=0,0,B11/$B$13)</f>
        <v>0.24823507529784689</v>
      </c>
      <c r="D11" s="68">
        <f>[1]Check!$H$25</f>
        <v>111690.25299999997</v>
      </c>
      <c r="E11" s="40">
        <f>IF(D11=0,0,D11/$D$13)</f>
        <v>0.69544626070276705</v>
      </c>
      <c r="F11" s="68">
        <f>[1]Check!$H$26</f>
        <v>63758.070999999996</v>
      </c>
      <c r="G11" s="40">
        <f>IF(F11=0,0,F11/$F$13)</f>
        <v>0.92516564862233863</v>
      </c>
      <c r="H11" s="41">
        <f>IF(B11+D11+F11=0,0,B11+D11+F11)</f>
        <v>211071.99899999998</v>
      </c>
      <c r="I11" s="40">
        <f>IF(H11=0,0,H11/$H$13)</f>
        <v>0.56583813828314034</v>
      </c>
    </row>
    <row r="12" spans="1:15" ht="18" customHeight="1" x14ac:dyDescent="0.2">
      <c r="A12" s="39" t="s">
        <v>11</v>
      </c>
      <c r="B12" s="69">
        <f>[2]Check!$H$29</f>
        <v>107884.147</v>
      </c>
      <c r="C12" s="40">
        <f>IF(B12=0,0,B12/$B$13)</f>
        <v>0.75176492470215306</v>
      </c>
      <c r="D12" s="69">
        <f>[1]Check!$H$30</f>
        <v>48912.02399999999</v>
      </c>
      <c r="E12" s="40">
        <f>IF(D12=0,0,D12/$D$13)</f>
        <v>0.30455373929723306</v>
      </c>
      <c r="F12" s="69">
        <f>[1]Check!$H$31</f>
        <v>5157.2320000000009</v>
      </c>
      <c r="G12" s="40">
        <f>IF(F12=0,0,F12/$F$13)</f>
        <v>7.4834351377661368E-2</v>
      </c>
      <c r="H12" s="102">
        <f>IF(B12+D12+F12=0,0,B12+D12+F12)</f>
        <v>161953.40299999996</v>
      </c>
      <c r="I12" s="40">
        <f>IF(H12=0,0,H12/$H$13)</f>
        <v>0.43416186171685966</v>
      </c>
    </row>
    <row r="13" spans="1:15" ht="18" customHeight="1" x14ac:dyDescent="0.2">
      <c r="A13" s="107" t="s">
        <v>6</v>
      </c>
      <c r="B13" s="42">
        <f>SUM(B11:B12)</f>
        <v>143507.82200000001</v>
      </c>
      <c r="C13" s="43"/>
      <c r="D13" s="42">
        <f>SUM(D11:D12)</f>
        <v>160602.27699999994</v>
      </c>
      <c r="E13" s="43"/>
      <c r="F13" s="42">
        <f>SUM(F11:F12)</f>
        <v>68915.303</v>
      </c>
      <c r="G13" s="43"/>
      <c r="H13" s="42">
        <f>IF(H11+H12=0,0,H11+H12)</f>
        <v>373025.40199999994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211,072 MWh, or 56.6%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161,953 MHh, or 43.4%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[3]Summary!$B$18</f>
        <v>69868</v>
      </c>
      <c r="C20" s="40">
        <f>IF(B20=0,0,B20/$B$22)</f>
        <v>0.22969672063779076</v>
      </c>
      <c r="D20" s="68">
        <f>[3]Summary!$B$19</f>
        <v>18298</v>
      </c>
      <c r="E20" s="53">
        <f>IF(D20=0,0,D20/$D$22)</f>
        <v>0.48048947009085657</v>
      </c>
      <c r="F20" s="68">
        <f>[3]Summary!$B$20</f>
        <v>185</v>
      </c>
      <c r="G20" s="40">
        <f>IF(F20=0,0,F20/$F$22)</f>
        <v>0.88516746411483249</v>
      </c>
      <c r="H20" s="41">
        <f>IF(B20+D20+F20=0,0,B20+D20+F20)</f>
        <v>88351</v>
      </c>
      <c r="I20" s="40">
        <f>IF(H20=0,0,H20/$H$22)</f>
        <v>0.25798473425099133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[3]Summary!$B$22</f>
        <v>234307</v>
      </c>
      <c r="C21" s="40">
        <f>IF(B21=0,0,B21/$B$22)</f>
        <v>0.77030327936220921</v>
      </c>
      <c r="D21" s="69">
        <f>[3]Summary!$B$23</f>
        <v>19784</v>
      </c>
      <c r="E21" s="53">
        <f>IF(D21=0,0,D21/$D$22)</f>
        <v>0.51951052990914348</v>
      </c>
      <c r="F21" s="69">
        <f>[3]Summary!$B$24</f>
        <v>24</v>
      </c>
      <c r="G21" s="40">
        <f>IF(F21=0,0,F21/$F$22)</f>
        <v>0.11483253588516747</v>
      </c>
      <c r="H21" s="69">
        <f>IF(B21+D21+F21=0,0,B21+D21+F21)</f>
        <v>254115</v>
      </c>
      <c r="I21" s="40">
        <f>IF(H21=0,0,H21/$H$22)</f>
        <v>0.74201526574900867</v>
      </c>
    </row>
    <row r="22" spans="1:17" ht="18" customHeight="1" x14ac:dyDescent="0.2">
      <c r="A22" s="39" t="str">
        <f>A13</f>
        <v>Total</v>
      </c>
      <c r="B22" s="42">
        <f>SUM(B20:B21)</f>
        <v>304175</v>
      </c>
      <c r="C22" s="55"/>
      <c r="D22" s="42">
        <f>SUM(D20:D21)</f>
        <v>38082</v>
      </c>
      <c r="E22" s="43"/>
      <c r="F22" s="42">
        <f>SUM(F20:F21)</f>
        <v>209</v>
      </c>
      <c r="G22" s="43"/>
      <c r="H22" s="42">
        <f>IF(H20+H21=0,0,H20+H21)</f>
        <v>342466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88,351 of UI's total customers, or 25.8%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254,115 or 74.2%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topLeftCell="A29" zoomScaleNormal="100" workbookViewId="0">
      <selection activeCell="A45" sqref="A4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4" t="s">
        <v>55</v>
      </c>
      <c r="B2" s="124"/>
      <c r="C2" s="124"/>
      <c r="D2" s="124"/>
      <c r="E2" s="124"/>
      <c r="F2" s="124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October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3">
        <v>5333</v>
      </c>
      <c r="D9" s="114">
        <v>697</v>
      </c>
      <c r="E9" s="115">
        <v>6030</v>
      </c>
      <c r="F9" s="21">
        <f t="shared" ref="F9:F44" si="0">IF(E9=0,"",E9/$E$45)</f>
        <v>6.667993630573249E-2</v>
      </c>
    </row>
    <row r="10" spans="1:11" ht="14.25" customHeight="1" x14ac:dyDescent="0.2">
      <c r="A10" s="105">
        <v>2</v>
      </c>
      <c r="B10" t="s">
        <v>58</v>
      </c>
      <c r="C10" s="116">
        <v>30</v>
      </c>
      <c r="D10" s="112">
        <v>3257</v>
      </c>
      <c r="E10" s="117">
        <v>3287</v>
      </c>
      <c r="F10" s="21">
        <f t="shared" si="0"/>
        <v>3.6347753007784853E-2</v>
      </c>
    </row>
    <row r="11" spans="1:11" ht="14.25" customHeight="1" x14ac:dyDescent="0.2">
      <c r="A11" s="105">
        <v>3</v>
      </c>
      <c r="B11" t="s">
        <v>59</v>
      </c>
      <c r="C11" s="116">
        <v>19</v>
      </c>
      <c r="D11" s="112">
        <v>207</v>
      </c>
      <c r="E11" s="117">
        <v>226</v>
      </c>
      <c r="F11" s="21">
        <f t="shared" si="0"/>
        <v>2.4991153573956123E-3</v>
      </c>
    </row>
    <row r="12" spans="1:11" ht="14.25" customHeight="1" x14ac:dyDescent="0.2">
      <c r="A12" s="105">
        <v>4</v>
      </c>
      <c r="B12" t="s">
        <v>60</v>
      </c>
      <c r="C12" s="116">
        <v>424</v>
      </c>
      <c r="D12" s="112">
        <v>11</v>
      </c>
      <c r="E12" s="117">
        <v>435</v>
      </c>
      <c r="F12" s="21">
        <f t="shared" si="0"/>
        <v>4.8102441613588108E-3</v>
      </c>
    </row>
    <row r="13" spans="1:11" ht="14.25" customHeight="1" x14ac:dyDescent="0.2">
      <c r="A13" s="105">
        <v>5</v>
      </c>
      <c r="B13" t="s">
        <v>61</v>
      </c>
      <c r="C13" s="116">
        <v>5270</v>
      </c>
      <c r="D13" s="112">
        <v>203</v>
      </c>
      <c r="E13" s="117">
        <v>5473</v>
      </c>
      <c r="F13" s="21">
        <f t="shared" si="0"/>
        <v>6.0520612172682238E-2</v>
      </c>
    </row>
    <row r="14" spans="1:11" ht="14.25" customHeight="1" x14ac:dyDescent="0.2">
      <c r="A14" s="105">
        <v>6</v>
      </c>
      <c r="B14" t="s">
        <v>62</v>
      </c>
      <c r="C14" s="116">
        <v>361</v>
      </c>
      <c r="D14" s="112">
        <v>74</v>
      </c>
      <c r="E14" s="117">
        <v>435</v>
      </c>
      <c r="F14" s="21">
        <f t="shared" si="0"/>
        <v>4.8102441613588108E-3</v>
      </c>
    </row>
    <row r="15" spans="1:11" ht="14.25" customHeight="1" x14ac:dyDescent="0.2">
      <c r="A15" s="105">
        <v>7</v>
      </c>
      <c r="B15" t="s">
        <v>63</v>
      </c>
      <c r="C15" s="116">
        <v>777</v>
      </c>
      <c r="D15" s="112">
        <v>4745</v>
      </c>
      <c r="E15" s="117">
        <v>5522</v>
      </c>
      <c r="F15" s="21">
        <f t="shared" si="0"/>
        <v>6.1062455767869783E-2</v>
      </c>
    </row>
    <row r="16" spans="1:11" ht="14.25" customHeight="1" x14ac:dyDescent="0.2">
      <c r="A16" s="105">
        <v>8</v>
      </c>
      <c r="B16" t="s">
        <v>64</v>
      </c>
      <c r="C16" s="116">
        <v>8567</v>
      </c>
      <c r="D16" s="112">
        <v>1550</v>
      </c>
      <c r="E16" s="117">
        <v>10117</v>
      </c>
      <c r="F16" s="21">
        <f t="shared" si="0"/>
        <v>0.11187411535739561</v>
      </c>
    </row>
    <row r="17" spans="1:6" ht="14.25" customHeight="1" x14ac:dyDescent="0.2">
      <c r="A17" s="105">
        <v>9</v>
      </c>
      <c r="B17" t="s">
        <v>56</v>
      </c>
      <c r="C17" s="116">
        <v>198</v>
      </c>
      <c r="D17" s="112">
        <v>1438</v>
      </c>
      <c r="E17" s="117">
        <v>1636</v>
      </c>
      <c r="F17" s="21">
        <f t="shared" si="0"/>
        <v>1.8090941259731069E-2</v>
      </c>
    </row>
    <row r="18" spans="1:6" ht="14.25" customHeight="1" x14ac:dyDescent="0.2">
      <c r="A18" s="105">
        <v>10</v>
      </c>
      <c r="B18" t="s">
        <v>65</v>
      </c>
      <c r="C18" s="116">
        <v>5145</v>
      </c>
      <c r="D18" s="112">
        <v>1477</v>
      </c>
      <c r="E18" s="117">
        <v>6622</v>
      </c>
      <c r="F18" s="21">
        <f t="shared" si="0"/>
        <v>7.3226291578202402E-2</v>
      </c>
    </row>
    <row r="19" spans="1:6" ht="14.25" customHeight="1" x14ac:dyDescent="0.2">
      <c r="A19" s="105">
        <v>11</v>
      </c>
      <c r="B19" t="s">
        <v>66</v>
      </c>
      <c r="C19" s="116">
        <v>2348</v>
      </c>
      <c r="D19" s="112">
        <v>301</v>
      </c>
      <c r="E19" s="117">
        <v>2649</v>
      </c>
      <c r="F19" s="21">
        <f t="shared" si="0"/>
        <v>2.9292728237791932E-2</v>
      </c>
    </row>
    <row r="20" spans="1:6" ht="14.25" customHeight="1" x14ac:dyDescent="0.2">
      <c r="A20" s="105">
        <v>12</v>
      </c>
      <c r="B20" t="s">
        <v>67</v>
      </c>
      <c r="C20" s="116">
        <v>495</v>
      </c>
      <c r="D20" s="112">
        <v>217</v>
      </c>
      <c r="E20" s="117">
        <v>712</v>
      </c>
      <c r="F20" s="21">
        <f t="shared" si="0"/>
        <v>7.8733191790516625E-3</v>
      </c>
    </row>
    <row r="21" spans="1:6" ht="14.25" customHeight="1" x14ac:dyDescent="0.2">
      <c r="A21" s="105">
        <v>13</v>
      </c>
      <c r="B21" t="s">
        <v>68</v>
      </c>
      <c r="C21" s="116"/>
      <c r="D21" s="112">
        <v>4</v>
      </c>
      <c r="E21" s="117">
        <v>4</v>
      </c>
      <c r="F21" s="21">
        <f t="shared" si="0"/>
        <v>4.4232130219391367E-5</v>
      </c>
    </row>
    <row r="22" spans="1:6" ht="14.25" customHeight="1" x14ac:dyDescent="0.2">
      <c r="A22" s="105">
        <v>14</v>
      </c>
      <c r="B22" t="s">
        <v>69</v>
      </c>
      <c r="C22" s="116">
        <v>360</v>
      </c>
      <c r="D22" s="112">
        <v>80</v>
      </c>
      <c r="E22" s="117">
        <v>440</v>
      </c>
      <c r="F22" s="21">
        <f t="shared" si="0"/>
        <v>4.8655343241330506E-3</v>
      </c>
    </row>
    <row r="23" spans="1:6" ht="14.25" customHeight="1" x14ac:dyDescent="0.2">
      <c r="A23" s="105">
        <v>15</v>
      </c>
      <c r="B23" t="s">
        <v>70</v>
      </c>
      <c r="C23" s="116">
        <v>37</v>
      </c>
      <c r="D23" s="112"/>
      <c r="E23" s="117">
        <v>37</v>
      </c>
      <c r="F23" s="21">
        <f t="shared" si="0"/>
        <v>4.0914720452937012E-4</v>
      </c>
    </row>
    <row r="24" spans="1:6" ht="14.25" customHeight="1" x14ac:dyDescent="0.2">
      <c r="A24" s="105">
        <v>16</v>
      </c>
      <c r="B24" t="s">
        <v>71</v>
      </c>
      <c r="C24" s="116">
        <v>781</v>
      </c>
      <c r="D24" s="112">
        <v>1320</v>
      </c>
      <c r="E24" s="117">
        <v>2101</v>
      </c>
      <c r="F24" s="21">
        <f t="shared" si="0"/>
        <v>2.3232926397735314E-2</v>
      </c>
    </row>
    <row r="25" spans="1:6" ht="14.25" customHeight="1" x14ac:dyDescent="0.2">
      <c r="A25" s="105">
        <v>17</v>
      </c>
      <c r="B25" t="s">
        <v>72</v>
      </c>
      <c r="C25" s="116">
        <v>93</v>
      </c>
      <c r="D25" s="112">
        <v>94</v>
      </c>
      <c r="E25" s="117">
        <v>187</v>
      </c>
      <c r="F25" s="21">
        <f t="shared" si="0"/>
        <v>2.0678520877565462E-3</v>
      </c>
    </row>
    <row r="26" spans="1:6" ht="14.25" customHeight="1" x14ac:dyDescent="0.2">
      <c r="A26" s="105">
        <v>18</v>
      </c>
      <c r="B26" t="s">
        <v>12</v>
      </c>
      <c r="C26" s="116">
        <v>5181</v>
      </c>
      <c r="D26" s="112">
        <v>760</v>
      </c>
      <c r="E26" s="117">
        <v>5941</v>
      </c>
      <c r="F26" s="21">
        <f t="shared" si="0"/>
        <v>6.569577140835102E-2</v>
      </c>
    </row>
    <row r="27" spans="1:6" ht="14.25" customHeight="1" x14ac:dyDescent="0.2">
      <c r="A27" s="105">
        <v>19</v>
      </c>
      <c r="B27" t="s">
        <v>73</v>
      </c>
      <c r="C27" s="116">
        <v>379</v>
      </c>
      <c r="D27" s="112">
        <v>30</v>
      </c>
      <c r="E27" s="117">
        <v>409</v>
      </c>
      <c r="F27" s="21">
        <f t="shared" si="0"/>
        <v>4.5227353149327673E-3</v>
      </c>
    </row>
    <row r="28" spans="1:6" ht="14.25" customHeight="1" x14ac:dyDescent="0.2">
      <c r="A28" s="105">
        <v>20</v>
      </c>
      <c r="B28" t="s">
        <v>74</v>
      </c>
      <c r="C28" s="116">
        <v>102</v>
      </c>
      <c r="D28" s="112">
        <v>123</v>
      </c>
      <c r="E28" s="117">
        <v>225</v>
      </c>
      <c r="F28" s="21">
        <f t="shared" si="0"/>
        <v>2.4880573248407642E-3</v>
      </c>
    </row>
    <row r="29" spans="1:6" ht="14.25" customHeight="1" x14ac:dyDescent="0.2">
      <c r="A29" s="105">
        <v>21</v>
      </c>
      <c r="B29" t="s">
        <v>75</v>
      </c>
      <c r="C29" s="116">
        <v>1</v>
      </c>
      <c r="D29" s="112"/>
      <c r="E29" s="117">
        <v>1</v>
      </c>
      <c r="F29" s="21">
        <f t="shared" si="0"/>
        <v>1.1058032554847842E-5</v>
      </c>
    </row>
    <row r="30" spans="1:6" ht="14.25" customHeight="1" x14ac:dyDescent="0.2">
      <c r="A30" s="105">
        <v>22</v>
      </c>
      <c r="B30" t="s">
        <v>76</v>
      </c>
      <c r="C30" s="116">
        <v>77</v>
      </c>
      <c r="D30" s="112">
        <v>262</v>
      </c>
      <c r="E30" s="117">
        <v>339</v>
      </c>
      <c r="F30" s="21">
        <f t="shared" si="0"/>
        <v>3.7486730360934183E-3</v>
      </c>
    </row>
    <row r="31" spans="1:6" ht="14.25" customHeight="1" x14ac:dyDescent="0.2">
      <c r="A31" s="105">
        <v>23</v>
      </c>
      <c r="B31" t="s">
        <v>77</v>
      </c>
      <c r="C31" s="116">
        <v>5946</v>
      </c>
      <c r="D31" s="112">
        <v>179</v>
      </c>
      <c r="E31" s="117">
        <v>6125</v>
      </c>
      <c r="F31" s="21">
        <f t="shared" si="0"/>
        <v>6.7730449398443027E-2</v>
      </c>
    </row>
    <row r="32" spans="1:6" ht="14.25" customHeight="1" x14ac:dyDescent="0.2">
      <c r="A32" s="105">
        <v>24</v>
      </c>
      <c r="B32" t="s">
        <v>78</v>
      </c>
      <c r="C32" s="116">
        <v>758</v>
      </c>
      <c r="D32" s="112">
        <v>217</v>
      </c>
      <c r="E32" s="117">
        <v>975</v>
      </c>
      <c r="F32" s="21">
        <f t="shared" si="0"/>
        <v>1.0781581740976645E-2</v>
      </c>
    </row>
    <row r="33" spans="1:10" ht="14.25" customHeight="1" x14ac:dyDescent="0.2">
      <c r="A33" s="105">
        <v>25</v>
      </c>
      <c r="B33" t="s">
        <v>79</v>
      </c>
      <c r="C33" s="116">
        <v>4571</v>
      </c>
      <c r="D33" s="112">
        <v>760</v>
      </c>
      <c r="E33" s="117">
        <v>5331</v>
      </c>
      <c r="F33" s="21">
        <f t="shared" si="0"/>
        <v>5.895037154989384E-2</v>
      </c>
    </row>
    <row r="34" spans="1:10" ht="14.25" customHeight="1" x14ac:dyDescent="0.2">
      <c r="A34" s="105">
        <v>26</v>
      </c>
      <c r="B34" t="s">
        <v>80</v>
      </c>
      <c r="C34" s="116">
        <v>156</v>
      </c>
      <c r="D34" s="112">
        <v>82</v>
      </c>
      <c r="E34" s="117">
        <v>238</v>
      </c>
      <c r="F34" s="21">
        <f t="shared" si="0"/>
        <v>2.6318117480537864E-3</v>
      </c>
    </row>
    <row r="35" spans="1:10" ht="14.25" customHeight="1" x14ac:dyDescent="0.2">
      <c r="A35" s="105">
        <v>27</v>
      </c>
      <c r="B35" t="s">
        <v>81</v>
      </c>
      <c r="C35" s="116">
        <v>3308</v>
      </c>
      <c r="D35" s="112">
        <v>252</v>
      </c>
      <c r="E35" s="117">
        <v>3560</v>
      </c>
      <c r="F35" s="21">
        <f t="shared" si="0"/>
        <v>3.9366595895258316E-2</v>
      </c>
    </row>
    <row r="36" spans="1:10" ht="14.25" customHeight="1" x14ac:dyDescent="0.2">
      <c r="A36" s="105">
        <v>28</v>
      </c>
      <c r="B36" t="s">
        <v>82</v>
      </c>
      <c r="C36" s="116">
        <v>739</v>
      </c>
      <c r="D36" s="112">
        <v>239</v>
      </c>
      <c r="E36" s="117">
        <v>978</v>
      </c>
      <c r="F36" s="21">
        <f t="shared" si="0"/>
        <v>1.0814755838641188E-2</v>
      </c>
    </row>
    <row r="37" spans="1:10" ht="14.25" customHeight="1" x14ac:dyDescent="0.2">
      <c r="A37" s="105">
        <v>29</v>
      </c>
      <c r="B37" t="s">
        <v>83</v>
      </c>
      <c r="C37" s="116"/>
      <c r="D37" s="112">
        <v>11</v>
      </c>
      <c r="E37" s="117">
        <v>11</v>
      </c>
      <c r="F37" s="21">
        <f t="shared" si="0"/>
        <v>1.2163835810332625E-4</v>
      </c>
    </row>
    <row r="38" spans="1:10" ht="14.25" customHeight="1" x14ac:dyDescent="0.2">
      <c r="A38" s="105">
        <v>30</v>
      </c>
      <c r="B38" t="s">
        <v>54</v>
      </c>
      <c r="C38" s="116">
        <v>917</v>
      </c>
      <c r="D38" s="112">
        <v>83</v>
      </c>
      <c r="E38" s="117">
        <v>1000</v>
      </c>
      <c r="F38" s="21">
        <f t="shared" si="0"/>
        <v>1.1058032554847842E-2</v>
      </c>
    </row>
    <row r="39" spans="1:10" ht="14.25" customHeight="1" x14ac:dyDescent="0.2">
      <c r="A39" s="105">
        <v>31</v>
      </c>
      <c r="B39" t="s">
        <v>84</v>
      </c>
      <c r="C39" s="116">
        <v>12125</v>
      </c>
      <c r="D39" s="112">
        <v>345</v>
      </c>
      <c r="E39" s="117">
        <v>12470</v>
      </c>
      <c r="F39" s="21">
        <f t="shared" si="0"/>
        <v>0.13789366595895258</v>
      </c>
    </row>
    <row r="40" spans="1:10" ht="14.25" customHeight="1" x14ac:dyDescent="0.2">
      <c r="A40" s="105">
        <v>32</v>
      </c>
      <c r="B40" t="s">
        <v>85</v>
      </c>
      <c r="C40" s="116">
        <v>4031</v>
      </c>
      <c r="D40" s="112">
        <v>418</v>
      </c>
      <c r="E40" s="117">
        <v>4449</v>
      </c>
      <c r="F40" s="21">
        <f t="shared" si="0"/>
        <v>4.9197186836518046E-2</v>
      </c>
    </row>
    <row r="41" spans="1:10" ht="14.25" customHeight="1" x14ac:dyDescent="0.2">
      <c r="A41" s="105">
        <v>33</v>
      </c>
      <c r="B41" t="s">
        <v>86</v>
      </c>
      <c r="C41" s="116">
        <v>416</v>
      </c>
      <c r="D41" s="112">
        <v>75</v>
      </c>
      <c r="E41" s="117">
        <v>491</v>
      </c>
      <c r="F41" s="21">
        <f t="shared" si="0"/>
        <v>5.4294939844302904E-3</v>
      </c>
    </row>
    <row r="42" spans="1:10" ht="14.25" customHeight="1" x14ac:dyDescent="0.2">
      <c r="A42" s="105">
        <v>34</v>
      </c>
      <c r="B42" t="s">
        <v>88</v>
      </c>
      <c r="C42" s="116">
        <v>34</v>
      </c>
      <c r="D42" s="112">
        <v>16</v>
      </c>
      <c r="E42" s="117">
        <v>50</v>
      </c>
      <c r="F42" s="21">
        <f t="shared" si="0"/>
        <v>5.529016277423921E-4</v>
      </c>
    </row>
    <row r="43" spans="1:10" ht="14.25" customHeight="1" x14ac:dyDescent="0.2">
      <c r="A43" s="105">
        <v>35</v>
      </c>
      <c r="B43" t="s">
        <v>87</v>
      </c>
      <c r="C43" s="116">
        <v>1615</v>
      </c>
      <c r="D43" s="112">
        <v>308</v>
      </c>
      <c r="E43" s="117">
        <v>1923</v>
      </c>
      <c r="F43" s="21">
        <f t="shared" si="0"/>
        <v>2.1264596602972398E-2</v>
      </c>
    </row>
    <row r="44" spans="1:10" ht="14.25" customHeight="1" x14ac:dyDescent="0.2">
      <c r="A44" s="105">
        <v>36</v>
      </c>
      <c r="B44" t="s">
        <v>90</v>
      </c>
      <c r="C44" s="116"/>
      <c r="D44" s="112">
        <v>3</v>
      </c>
      <c r="E44" s="117">
        <v>3</v>
      </c>
      <c r="F44" s="21">
        <f t="shared" si="0"/>
        <v>3.3174097664543524E-5</v>
      </c>
    </row>
    <row r="45" spans="1:10" x14ac:dyDescent="0.2">
      <c r="A45" s="105"/>
      <c r="B45" s="108" t="s">
        <v>57</v>
      </c>
      <c r="C45" s="118">
        <v>70594</v>
      </c>
      <c r="D45" s="119">
        <v>19838</v>
      </c>
      <c r="E45" s="120">
        <v>90432</v>
      </c>
      <c r="F45" s="21">
        <f>SUM(F9:F43)</f>
        <v>0.99996682590233554</v>
      </c>
      <c r="G45" s="109"/>
    </row>
    <row r="46" spans="1:10" x14ac:dyDescent="0.2">
      <c r="A46" s="106"/>
      <c r="B46" s="121"/>
      <c r="C46" s="122"/>
      <c r="D46" s="122"/>
      <c r="E46" s="122"/>
      <c r="F46" s="123"/>
      <c r="G46" s="109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50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4" t="s">
        <v>55</v>
      </c>
      <c r="B2" s="124"/>
      <c r="C2" s="124"/>
      <c r="D2" s="124"/>
      <c r="E2" s="124"/>
      <c r="F2" s="124"/>
      <c r="G2" s="124"/>
      <c r="H2" s="124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October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2999</v>
      </c>
      <c r="C13" s="43">
        <f>IF(B13=0,0,B13/'Summary Load Customers '!$B$22)</f>
        <v>9.8594559053176625E-3</v>
      </c>
      <c r="D13" s="42">
        <f>REC_programs_detail!C23</f>
        <v>32</v>
      </c>
      <c r="E13" s="43">
        <f>IF(D13=0,0,D13/('Summary Load Customers '!$D$22+'Summary Load Customers '!$F$22))</f>
        <v>8.357055182680003E-4</v>
      </c>
      <c r="F13" s="42">
        <f>B13+D13</f>
        <v>3031</v>
      </c>
      <c r="G13" s="43">
        <f>IF(F13=0,0,F13/'Summary Load Customers '!$H$22)</f>
        <v>8.8505136276301882E-3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3,031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557</v>
      </c>
      <c r="C20" s="43">
        <f>IF(B20=0,0,B20/'Summary Load Customers '!$B$22)</f>
        <v>1.831182707323087E-3</v>
      </c>
      <c r="D20" s="42">
        <f>REC_programs_detail!C29</f>
        <v>55</v>
      </c>
      <c r="E20" s="43">
        <f>IF(D20=0,0,D20/('Summary Load Customers '!$D$22+'Summary Load Customers '!$F$22))</f>
        <v>1.4363688595231256E-3</v>
      </c>
      <c r="F20" s="42">
        <f>B20+D20</f>
        <v>612</v>
      </c>
      <c r="G20" s="43">
        <f>IF(F20=0,0,F20/'Summary Load Customers '!$H$22)</f>
        <v>1.7870387133321263E-3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0,612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3556</v>
      </c>
      <c r="C27" s="43">
        <f>IF(B27=0,0,B27/'Summary Load Customers '!$B$22)</f>
        <v>1.169063861264075E-2</v>
      </c>
      <c r="D27" s="42">
        <f>D13+D20</f>
        <v>87</v>
      </c>
      <c r="E27" s="43">
        <f>IF(D27=0,0,D27/('Summary Load Customers '!$D$22+'Summary Load Customers '!$F$22))</f>
        <v>2.2720743777911259E-3</v>
      </c>
      <c r="F27" s="42">
        <f>B27+D27</f>
        <v>3643</v>
      </c>
      <c r="G27" s="43">
        <f>IF(F27=0,0,F27/'Summary Load Customers '!$H$22)</f>
        <v>1.0637552340962314E-2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3,643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abSelected="1" topLeftCell="A12" zoomScale="110" zoomScaleNormal="110" workbookViewId="0">
      <selection activeCell="B29" sqref="B29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5" t="str">
        <f>'Summary Load Customers '!A1</f>
        <v>The United Illuminating Company</v>
      </c>
      <c r="B1" s="125"/>
      <c r="C1" s="125"/>
      <c r="D1" s="125"/>
      <c r="E1" s="71"/>
      <c r="F1" s="71"/>
      <c r="G1" s="72"/>
    </row>
    <row r="2" spans="1:9" s="8" customFormat="1" ht="18" customHeight="1" x14ac:dyDescent="0.2">
      <c r="A2" s="126" t="s">
        <v>55</v>
      </c>
      <c r="B2" s="126"/>
      <c r="C2" s="126"/>
      <c r="D2" s="126"/>
      <c r="E2" s="23"/>
      <c r="F2" s="23"/>
      <c r="G2" s="24"/>
      <c r="H2" s="25"/>
      <c r="I2" s="25"/>
    </row>
    <row r="3" spans="1:9" s="73" customFormat="1" ht="15" customHeight="1" x14ac:dyDescent="0.2">
      <c r="A3" s="125" t="s">
        <v>34</v>
      </c>
      <c r="B3" s="125"/>
      <c r="C3" s="125"/>
      <c r="D3" s="125"/>
      <c r="E3" s="71"/>
      <c r="F3" s="71"/>
      <c r="G3" s="72"/>
    </row>
    <row r="4" spans="1:9" s="73" customFormat="1" ht="15" customHeight="1" x14ac:dyDescent="0.2">
      <c r="A4" s="125" t="s">
        <v>1</v>
      </c>
      <c r="B4" s="125"/>
      <c r="C4" s="125"/>
      <c r="D4" s="125"/>
      <c r="E4" s="71"/>
      <c r="F4" s="71"/>
      <c r="G4" s="72"/>
    </row>
    <row r="5" spans="1:9" s="73" customFormat="1" ht="15" customHeight="1" x14ac:dyDescent="0.2">
      <c r="A5" s="125" t="str">
        <f>'Summary Load Customers '!A6</f>
        <v>Data as of October 31, 2020</v>
      </c>
      <c r="B5" s="125"/>
      <c r="C5" s="125"/>
      <c r="D5" s="125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110</v>
      </c>
      <c r="C9" s="84">
        <v>2</v>
      </c>
      <c r="D9" s="85">
        <f>SUM(B9:C9)</f>
        <v>112</v>
      </c>
      <c r="E9" s="87"/>
      <c r="F9" s="87"/>
      <c r="G9" s="86"/>
      <c r="H9" s="75"/>
    </row>
    <row r="10" spans="1:9" x14ac:dyDescent="0.2">
      <c r="A10" s="82" t="s">
        <v>15</v>
      </c>
      <c r="B10" s="84">
        <v>2460</v>
      </c>
      <c r="C10" s="84">
        <v>29</v>
      </c>
      <c r="D10" s="85">
        <f>SUM(B10:C10)</f>
        <v>2489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2570</v>
      </c>
      <c r="C11" s="91">
        <f>IF(SUM(C8:C10)=0,0,SUM(C8:C10))</f>
        <v>31</v>
      </c>
      <c r="D11" s="91">
        <f>IF(SUM(D8:D10)=0,0,SUM(D8:D10))</f>
        <v>2601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427</v>
      </c>
      <c r="C16" s="84">
        <v>1</v>
      </c>
      <c r="D16" s="85">
        <f>SUM(B16:C16)</f>
        <v>428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429</v>
      </c>
      <c r="C17" s="91">
        <f>IF(SUM(C14:C16)=0,0,SUM(C14:C16))</f>
        <v>1</v>
      </c>
      <c r="D17" s="91">
        <f>IF(SUM(D14:D16)=0,0,SUM(D14:D16))</f>
        <v>430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112</v>
      </c>
      <c r="C21" s="96">
        <f>IF(C9+C15=0,0,C9+C15)</f>
        <v>2</v>
      </c>
      <c r="D21" s="85">
        <f t="shared" si="0"/>
        <v>114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2887</v>
      </c>
      <c r="C22" s="96">
        <f>IF(C10+C16=0,0,C10+C16)</f>
        <v>30</v>
      </c>
      <c r="D22" s="85">
        <f>IF(D10+D16=0,0,D10+D16)</f>
        <v>2917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2999</v>
      </c>
      <c r="C23" s="91">
        <f>IF(SUM(C20:C22)=0,0,SUM(C20:C22))</f>
        <v>32</v>
      </c>
      <c r="D23" s="91">
        <f>SUM(D20:D22)</f>
        <v>3031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164</v>
      </c>
      <c r="C27" s="84">
        <v>11</v>
      </c>
      <c r="D27" s="85">
        <f>SUM(B27:C27)</f>
        <v>175</v>
      </c>
    </row>
    <row r="28" spans="1:8" x14ac:dyDescent="0.2">
      <c r="A28" s="82" t="s">
        <v>15</v>
      </c>
      <c r="B28" s="84">
        <v>393</v>
      </c>
      <c r="C28" s="84">
        <v>44</v>
      </c>
      <c r="D28" s="85">
        <f>SUM(B28:C28)</f>
        <v>437</v>
      </c>
    </row>
    <row r="29" spans="1:8" x14ac:dyDescent="0.2">
      <c r="A29" s="90" t="str">
        <f>A23</f>
        <v>Total</v>
      </c>
      <c r="B29" s="110">
        <f>IF(B27+B28=0,0,B27+B28)</f>
        <v>557</v>
      </c>
      <c r="C29" s="91">
        <f>IF(SUM(C26:C28)=0,0,SUM(C26:C28))</f>
        <v>55</v>
      </c>
      <c r="D29" s="91">
        <f>IF(SUM(D26:D28)=0,0,SUM(D26:D28))</f>
        <v>612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276</v>
      </c>
      <c r="C33" s="96">
        <f t="shared" si="1"/>
        <v>13</v>
      </c>
      <c r="D33" s="85">
        <f t="shared" si="1"/>
        <v>289</v>
      </c>
      <c r="E33" s="75"/>
      <c r="F33" s="75"/>
      <c r="G33" s="75"/>
    </row>
    <row r="34" spans="1:7" x14ac:dyDescent="0.2">
      <c r="A34" s="82" t="s">
        <v>15</v>
      </c>
      <c r="B34" s="96">
        <f>B22+B28</f>
        <v>3280</v>
      </c>
      <c r="C34" s="96">
        <f t="shared" si="1"/>
        <v>74</v>
      </c>
      <c r="D34" s="85">
        <f t="shared" si="1"/>
        <v>3354</v>
      </c>
    </row>
    <row r="35" spans="1:7" x14ac:dyDescent="0.2">
      <c r="A35" s="90" t="str">
        <f>A29</f>
        <v>Total</v>
      </c>
      <c r="B35" s="91">
        <f>IF(B33+B34=0,0,B33+B34)</f>
        <v>3556</v>
      </c>
      <c r="C35" s="91">
        <f>IF(SUM(C32:C34)=0,0,SUM(C32:C34))</f>
        <v>87</v>
      </c>
      <c r="D35" s="91">
        <f>SUM(D32:D34)</f>
        <v>3643</v>
      </c>
    </row>
    <row r="37" spans="1:7" x14ac:dyDescent="0.2">
      <c r="A37" s="97" t="str">
        <f>"In summary, "&amp;TEXT($D$23,"0,000")&amp; " of UI's customers are participating in the CTCleanEnergyOptions Program"</f>
        <v>In summary, 3,031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612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3,643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2020-11-10T15:22:32Z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</Properties>
</file>