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agrfil01.amer.iberdrola.local\VolM1\User\WRK_GRP\File_output_data\PURA_reports_filings\06-10-22_Switch_reports_and_letters\Supplier Counts\2021-03\"/>
    </mc:Choice>
  </mc:AlternateContent>
  <xr:revisionPtr revIDLastSave="0" documentId="10_ncr:100000_{F5B0B700-26AF-471C-81FD-D8FE03BEFB6B}" xr6:coauthVersionLast="31" xr6:coauthVersionMax="31" xr10:uidLastSave="{00000000-0000-0000-0000-000000000000}"/>
  <bookViews>
    <workbookView xWindow="0" yWindow="0" windowWidth="20490" windowHeight="7245" tabRatio="838" xr2:uid="{00000000-000D-0000-FFFF-FFFF00000000}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79017"/>
</workbook>
</file>

<file path=xl/calcChain.xml><?xml version="1.0" encoding="utf-8"?>
<calcChain xmlns="http://schemas.openxmlformats.org/spreadsheetml/2006/main">
  <c r="F12" i="7" l="1"/>
  <c r="D12" i="7"/>
  <c r="B12" i="7"/>
  <c r="B11" i="7"/>
  <c r="F21" i="7" l="1"/>
  <c r="F20" i="7"/>
  <c r="D21" i="7"/>
  <c r="D20" i="7"/>
  <c r="B21" i="7"/>
  <c r="B20" i="7"/>
  <c r="F45" i="6" l="1"/>
  <c r="F44" i="6"/>
  <c r="B21" i="5" l="1"/>
  <c r="F9" i="6" l="1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B32" i="5" l="1"/>
  <c r="C11" i="5" l="1"/>
  <c r="A5" i="6" l="1"/>
  <c r="B33" i="5" l="1"/>
  <c r="C21" i="5"/>
  <c r="C33" i="5" s="1"/>
  <c r="C22" i="5"/>
  <c r="C34" i="5" s="1"/>
  <c r="B22" i="5"/>
  <c r="B34" i="5" s="1"/>
  <c r="A5" i="5" l="1"/>
  <c r="A6" i="8" l="1"/>
  <c r="B29" i="5"/>
  <c r="B20" i="8" s="1"/>
  <c r="F26" i="8"/>
  <c r="F19" i="8"/>
  <c r="F12" i="8"/>
  <c r="D8" i="5"/>
  <c r="D14" i="5"/>
  <c r="C20" i="5"/>
  <c r="C26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 s="1"/>
  <c r="A1" i="6"/>
  <c r="A1" i="5"/>
  <c r="C17" i="5"/>
  <c r="B11" i="5"/>
  <c r="B17" i="5"/>
  <c r="A22" i="7"/>
  <c r="A21" i="7"/>
  <c r="D10" i="7"/>
  <c r="F10" i="7" s="1"/>
  <c r="H10" i="7" s="1"/>
  <c r="D19" i="7"/>
  <c r="F19" i="7" s="1"/>
  <c r="H19" i="7" s="1"/>
  <c r="A20" i="7"/>
  <c r="A17" i="5"/>
  <c r="C13" i="5"/>
  <c r="C29" i="5" l="1"/>
  <c r="D20" i="8" s="1"/>
  <c r="F20" i="8" s="1"/>
  <c r="D26" i="5"/>
  <c r="D29" i="5" s="1"/>
  <c r="A38" i="5" s="1"/>
  <c r="C32" i="5"/>
  <c r="C20" i="7"/>
  <c r="C21" i="7"/>
  <c r="D22" i="5"/>
  <c r="D34" i="5" s="1"/>
  <c r="D21" i="5"/>
  <c r="D33" i="5" s="1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F22" i="7" l="1"/>
  <c r="G21" i="7" s="1"/>
  <c r="G20" i="7" l="1"/>
  <c r="D22" i="7" l="1"/>
  <c r="E20" i="7" s="1"/>
  <c r="H20" i="7"/>
  <c r="H22" i="7" l="1"/>
  <c r="I20" i="7" s="1"/>
  <c r="A24" i="7" s="1"/>
  <c r="E21" i="7"/>
  <c r="E27" i="8"/>
  <c r="E20" i="8"/>
  <c r="E13" i="8"/>
  <c r="G13" i="8" l="1"/>
  <c r="A15" i="8" s="1"/>
  <c r="G27" i="8"/>
  <c r="A29" i="8" s="1"/>
  <c r="I21" i="7"/>
  <c r="A25" i="7" s="1"/>
  <c r="G20" i="8"/>
  <c r="A22" i="8" s="1"/>
  <c r="H12" i="7" l="1"/>
  <c r="B13" i="7"/>
  <c r="C11" i="7" s="1"/>
  <c r="C12" i="7" l="1"/>
  <c r="F11" i="7" l="1"/>
  <c r="D11" i="7" l="1"/>
  <c r="F13" i="7"/>
  <c r="G12" i="7" s="1"/>
  <c r="G11" i="7" l="1"/>
  <c r="D13" i="7"/>
  <c r="E12" i="7" s="1"/>
  <c r="H11" i="7"/>
  <c r="E11" i="7" l="1"/>
  <c r="H13" i="7"/>
  <c r="I12" i="7" s="1"/>
  <c r="A15" i="7" s="1"/>
  <c r="I11" i="7" l="1"/>
  <c r="A14" i="7" s="1"/>
</calcChain>
</file>

<file path=xl/sharedStrings.xml><?xml version="1.0" encoding="utf-8"?>
<sst xmlns="http://schemas.openxmlformats.org/spreadsheetml/2006/main" count="158" uniqueCount="92">
  <si>
    <t>The United Illuminating Company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</si>
  <si>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</si>
  <si>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</si>
  <si>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</si>
  <si>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</si>
  <si>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</si>
  <si>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</si>
  <si>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</si>
  <si>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</si>
  <si>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</si>
  <si>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</si>
  <si>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</si>
  <si>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Liberty Power Holdings, LLC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</si>
  <si>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</si>
  <si>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</si>
  <si>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</si>
  <si>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</si>
  <si>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</si>
  <si>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</si>
  <si>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</si>
  <si>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</si>
  <si>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</si>
  <si>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</si>
  <si>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</si>
  <si>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</si>
  <si>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</si>
  <si>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</si>
  <si>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</si>
  <si>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</si>
  <si>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</si>
  <si>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</si>
  <si>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</si>
  <si>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</si>
  <si>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Summary Data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</si>
  <si>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</si>
  <si>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</si>
  <si>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</si>
  <si>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</si>
  <si>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</si>
  <si>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</si>
  <si>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</si>
  <si>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</si>
  <si>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</si>
  <si>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</si>
  <si>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</si>
  <si>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</si>
  <si>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</si>
  <si>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</si>
  <si>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</si>
  <si>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</si>
  <si>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</si>
  <si>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</si>
  <si>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</si>
  <si>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</si>
  <si>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Think Energy</t>
  </si>
  <si>
    <t>Attachment 1</t>
  </si>
  <si>
    <t>Direct Energy Business</t>
  </si>
  <si>
    <t>Totals</t>
  </si>
  <si>
    <t>Calpine Energy Solutions, LLC</t>
  </si>
  <si>
    <t>Champion Energy Services</t>
  </si>
  <si>
    <t>Choice Energy, LLC</t>
  </si>
  <si>
    <t>Clearview Energy,Inc</t>
  </si>
  <si>
    <t>Connecticut Gas &amp; Electric, Inc.</t>
  </si>
  <si>
    <t>Constellation NewEnergy - C&amp;I</t>
  </si>
  <si>
    <t>Constellation NewEnergy - MM</t>
  </si>
  <si>
    <t>Direct Energy Services</t>
  </si>
  <si>
    <t>Discount Power, Inc.</t>
  </si>
  <si>
    <t>Eligo Energy CT, LLC</t>
  </si>
  <si>
    <t>Energy Plus Holdings LLC</t>
  </si>
  <si>
    <t>Energy Rewards</t>
  </si>
  <si>
    <t>ENGIE Resources Inc.</t>
  </si>
  <si>
    <t>First Point Power, LLC</t>
  </si>
  <si>
    <t>Major Energy Electric Services, LLC</t>
  </si>
  <si>
    <t>Mega Energy of New England</t>
  </si>
  <si>
    <t>NextEra Energy Services Connecticut, LLC</t>
  </si>
  <si>
    <t>North American Power and Gas</t>
  </si>
  <si>
    <t>NRG Retail Solutions</t>
  </si>
  <si>
    <t>Public Power, LLC</t>
  </si>
  <si>
    <t>Spark Energy, L. P.</t>
  </si>
  <si>
    <t>Starion Energy inc.</t>
  </si>
  <si>
    <t>Sunwave Gas &amp; Power</t>
  </si>
  <si>
    <t>Texas Retail Energy</t>
  </si>
  <si>
    <t>Town Square Energy, LLC</t>
  </si>
  <si>
    <t>Verde Energy USA, Inc.</t>
  </si>
  <si>
    <t>Viridian Energy, Inc.</t>
  </si>
  <si>
    <t>XOOM Energy Connecticut, LLC</t>
  </si>
  <si>
    <t>Wattifi, Inc</t>
  </si>
  <si>
    <t>Electric Suppliers - Customer Count Data</t>
  </si>
  <si>
    <t>MP2 Energy NE LLC</t>
  </si>
  <si>
    <t>EDF Energy Services, LLC</t>
  </si>
  <si>
    <t>Residents Energy, LLC</t>
  </si>
  <si>
    <t>Data as of March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</si>
</sst>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[$-409]mmmm\ d\,\ yyyy;@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7" xfId="0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9" fontId="4" fillId="2" borderId="8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3" fontId="6" fillId="2" borderId="7" xfId="0" applyNumberFormat="1" applyFont="1" applyFill="1" applyBorder="1" applyAlignment="1" applyProtection="1">
      <alignment horizontal="center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164" fontId="0" fillId="0" borderId="0" xfId="0" applyNumberFormat="1" applyFill="1" applyProtection="1"/>
    <xf numFmtId="3" fontId="11" fillId="0" borderId="2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Alignment="1" applyProtection="1">
      <alignment horizontal="centerContinuous" vertical="center"/>
    </xf>
    <xf numFmtId="0" fontId="0" fillId="0" borderId="0" xfId="0" applyNumberFormat="1"/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14" xfId="0" applyNumberFormat="1" applyBorder="1"/>
    <xf numFmtId="0" fontId="0" fillId="0" borderId="15" xfId="0" applyNumberFormat="1" applyBorder="1"/>
    <xf numFmtId="0" fontId="0" fillId="0" borderId="16" xfId="0" applyNumberFormat="1" applyBorder="1"/>
    <xf numFmtId="0" fontId="0" fillId="0" borderId="17" xfId="0" applyNumberFormat="1" applyBorder="1"/>
    <xf numFmtId="3" fontId="0" fillId="0" borderId="0" xfId="0" applyNumberFormat="1" applyBorder="1" applyAlignment="1">
      <alignment vertical="top"/>
    </xf>
    <xf numFmtId="0" fontId="0" fillId="0" borderId="0" xfId="0" applyNumberFormat="1" applyBorder="1"/>
    <xf numFmtId="164" fontId="9" fillId="0" borderId="0" xfId="2" applyNumberFormat="1" applyFont="1" applyFill="1" applyBorder="1" applyAlignment="1" applyProtection="1">
      <alignment horizontal="center"/>
    </xf>
    <xf numFmtId="0" fontId="1" fillId="2" borderId="2" xfId="0" applyFont="1" applyFill="1" applyBorder="1" applyProtection="1"/>
    <xf numFmtId="0" fontId="0" fillId="0" borderId="18" xfId="0" applyNumberFormat="1" applyBorder="1"/>
    <xf numFmtId="0" fontId="0" fillId="0" borderId="0" xfId="0" applyBorder="1"/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6">
    <cellStyle name="Comma 2" xfId="4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21_Total/2021_03_%20Month_total_load_by_seg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PURA_reports_filings/06-10-22_Switch_reports_and_letters/Customer_count_files/2021/202103_March_2021_customer_count_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4">
          <cell r="H24">
            <v>38230.538000000044</v>
          </cell>
        </row>
        <row r="25">
          <cell r="H25">
            <v>106529.53999999995</v>
          </cell>
        </row>
        <row r="26">
          <cell r="H26">
            <v>60001.959000000003</v>
          </cell>
        </row>
        <row r="29">
          <cell r="H29">
            <v>128381.105</v>
          </cell>
        </row>
        <row r="30">
          <cell r="H30">
            <v>50781.028999999988</v>
          </cell>
        </row>
        <row r="31">
          <cell r="H31">
            <v>6215.746000000001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Check"/>
      <sheetName val="Raw"/>
      <sheetName val="For RFP"/>
      <sheetName val="Suppliers"/>
      <sheetName val="Res"/>
      <sheetName val="C&amp;I"/>
      <sheetName val="LRS"/>
      <sheetName val="Summary"/>
      <sheetName val="Suppliers codes"/>
      <sheetName val="Asse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>
            <v>65872</v>
          </cell>
        </row>
        <row r="19">
          <cell r="B19">
            <v>18663</v>
          </cell>
        </row>
        <row r="20">
          <cell r="B20">
            <v>176</v>
          </cell>
        </row>
        <row r="22">
          <cell r="B22">
            <v>239912</v>
          </cell>
        </row>
        <row r="23">
          <cell r="B23">
            <v>19707</v>
          </cell>
        </row>
        <row r="24">
          <cell r="B24">
            <v>27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showGridLines="0" showZeros="0" tabSelected="1" topLeftCell="A7" zoomScaleNormal="100" workbookViewId="0">
      <selection activeCell="D12" sqref="D12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14.28515625" style="2" customWidth="1"/>
    <col min="9" max="9" width="11.7109375" style="2" customWidth="1"/>
    <col min="10" max="16384" width="9.140625" style="2"/>
  </cols>
  <sheetData>
    <row r="1" spans="1:15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15" s="8" customFormat="1" ht="18" customHeight="1" x14ac:dyDescent="0.2">
      <c r="A2" s="22" t="s">
        <v>55</v>
      </c>
      <c r="B2" s="23"/>
      <c r="C2" s="23"/>
      <c r="D2" s="23"/>
      <c r="E2" s="23"/>
      <c r="F2" s="23"/>
      <c r="G2" s="24"/>
      <c r="H2" s="25"/>
      <c r="I2" s="25"/>
    </row>
    <row r="3" spans="1:15" s="8" customFormat="1" ht="18" customHeight="1" x14ac:dyDescent="0.2">
      <c r="A3" s="22" t="s">
        <v>33</v>
      </c>
      <c r="B3" s="23"/>
      <c r="C3" s="23"/>
      <c r="D3" s="23"/>
      <c r="E3" s="23"/>
      <c r="F3" s="23"/>
      <c r="G3" s="24"/>
      <c r="H3" s="25"/>
      <c r="I3" s="25"/>
    </row>
    <row r="4" spans="1:15" s="8" customFormat="1" ht="18" customHeight="1" x14ac:dyDescent="0.2">
      <c r="A4" s="22" t="s">
        <v>26</v>
      </c>
      <c r="B4" s="23"/>
      <c r="C4" s="23"/>
      <c r="D4" s="23"/>
      <c r="E4" s="23"/>
      <c r="F4" s="23"/>
      <c r="G4" s="24"/>
      <c r="H4" s="25"/>
      <c r="I4" s="25"/>
    </row>
    <row r="5" spans="1:15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15" s="8" customFormat="1" ht="18" customHeight="1" x14ac:dyDescent="0.2">
      <c r="A6" s="110" t="s">
        <v>91</v>
      </c>
      <c r="B6" s="110"/>
      <c r="C6" s="25"/>
      <c r="D6" s="70"/>
      <c r="E6" s="70"/>
      <c r="F6" s="70"/>
      <c r="G6" s="25"/>
      <c r="H6" s="25"/>
      <c r="I6" s="25"/>
    </row>
    <row r="8" spans="1:15" ht="18" customHeight="1" x14ac:dyDescent="0.2">
      <c r="A8" s="28" t="s">
        <v>29</v>
      </c>
      <c r="B8" s="29"/>
      <c r="C8" s="29"/>
      <c r="D8" s="29"/>
      <c r="E8" s="29"/>
      <c r="F8" s="29"/>
      <c r="G8" s="30"/>
      <c r="H8" s="25"/>
      <c r="I8" s="25"/>
    </row>
    <row r="9" spans="1:15" s="35" customFormat="1" ht="18" customHeight="1" x14ac:dyDescent="0.2">
      <c r="A9" s="2"/>
      <c r="B9" s="31" t="s">
        <v>30</v>
      </c>
      <c r="C9" s="32"/>
      <c r="D9" s="31" t="s">
        <v>7</v>
      </c>
      <c r="E9" s="33"/>
      <c r="F9" s="31" t="s">
        <v>8</v>
      </c>
      <c r="G9" s="34"/>
      <c r="H9" s="31" t="s">
        <v>32</v>
      </c>
      <c r="I9" s="33"/>
    </row>
    <row r="10" spans="1:15" ht="18" customHeight="1" x14ac:dyDescent="0.2">
      <c r="A10" s="36"/>
      <c r="B10" s="37" t="s">
        <v>9</v>
      </c>
      <c r="C10" s="38" t="s">
        <v>19</v>
      </c>
      <c r="D10" s="37" t="str">
        <f>B10</f>
        <v>MWh</v>
      </c>
      <c r="E10" s="38" t="s">
        <v>19</v>
      </c>
      <c r="F10" s="37" t="str">
        <f>D10</f>
        <v>MWh</v>
      </c>
      <c r="G10" s="38" t="s">
        <v>19</v>
      </c>
      <c r="H10" s="37" t="str">
        <f>F10</f>
        <v>MWh</v>
      </c>
      <c r="I10" s="38" t="s">
        <v>18</v>
      </c>
    </row>
    <row r="11" spans="1:15" ht="18" customHeight="1" x14ac:dyDescent="0.2">
      <c r="A11" s="39" t="s">
        <v>10</v>
      </c>
      <c r="B11" s="68">
        <f>[1]Check!$H$24</f>
        <v>38230.538000000044</v>
      </c>
      <c r="C11" s="40">
        <f>IF(B11=0,0,B11/$B$13)</f>
        <v>0.22945898204725126</v>
      </c>
      <c r="D11" s="68">
        <f>[1]Check!$H$25</f>
        <v>106529.53999999995</v>
      </c>
      <c r="E11" s="40">
        <f>IF(D11=0,0,D11/$D$13)</f>
        <v>0.67719251590781548</v>
      </c>
      <c r="F11" s="68">
        <f>[1]Check!$H$26</f>
        <v>60001.959000000003</v>
      </c>
      <c r="G11" s="40">
        <f>IF(F11=0,0,F11/$F$13)</f>
        <v>0.90613166070917139</v>
      </c>
      <c r="H11" s="41">
        <f>IF(B11+D11+F11=0,0,B11+D11+F11)</f>
        <v>204762.03699999998</v>
      </c>
      <c r="I11" s="40">
        <f>IF(H11=0,0,H11/$H$13)</f>
        <v>0.52484257077442287</v>
      </c>
    </row>
    <row r="12" spans="1:15" ht="18" customHeight="1" x14ac:dyDescent="0.2">
      <c r="A12" s="39" t="s">
        <v>11</v>
      </c>
      <c r="B12" s="68">
        <f>[1]Check!$H$29</f>
        <v>128381.105</v>
      </c>
      <c r="C12" s="40">
        <f>IF(B12=0,0,B12/$B$13)</f>
        <v>0.77054101795274876</v>
      </c>
      <c r="D12" s="68">
        <f>[1]Check!$H$30</f>
        <v>50781.028999999988</v>
      </c>
      <c r="E12" s="40">
        <f>IF(D12=0,0,D12/$D$13)</f>
        <v>0.32280748409218463</v>
      </c>
      <c r="F12" s="68">
        <f>[1]Check!$H$31</f>
        <v>6215.746000000001</v>
      </c>
      <c r="G12" s="40">
        <f>IF(F12=0,0,F12/$F$13)</f>
        <v>9.3868339290828648E-2</v>
      </c>
      <c r="H12" s="102">
        <f>IF(B12+D12+F12=0,0,B12+D12+F12)</f>
        <v>185377.88</v>
      </c>
      <c r="I12" s="40">
        <f>IF(H12=0,0,H12/$H$13)</f>
        <v>0.47515742922557702</v>
      </c>
    </row>
    <row r="13" spans="1:15" ht="18" customHeight="1" x14ac:dyDescent="0.2">
      <c r="A13" s="107" t="s">
        <v>6</v>
      </c>
      <c r="B13" s="42">
        <f>SUM(B11:B12)</f>
        <v>166611.64300000004</v>
      </c>
      <c r="C13" s="43"/>
      <c r="D13" s="42">
        <f>SUM(D11:D12)</f>
        <v>157310.56899999993</v>
      </c>
      <c r="E13" s="43"/>
      <c r="F13" s="42">
        <f>SUM(F11:F12)</f>
        <v>66217.705000000002</v>
      </c>
      <c r="G13" s="43"/>
      <c r="H13" s="42">
        <f>IF(H11+H12=0,0,H11+H12)</f>
        <v>390139.91700000002</v>
      </c>
      <c r="I13" s="44"/>
    </row>
    <row r="14" spans="1:15" ht="18" customHeight="1" x14ac:dyDescent="0.2">
      <c r="A14" s="99" t="str">
        <f>"As the above table shows, "&amp;TEXT(H11,"0,000")&amp; " MWh, or "&amp;TEXT(I11,"0.0%")&amp;" of UI's total load is served by electric suppliers"</f>
        <v>As the above table shows, 204,762 MWh, or 52.5% of UI's total load is served by electric suppliers</v>
      </c>
      <c r="H14" s="27"/>
      <c r="L14" s="101"/>
      <c r="M14" s="101"/>
      <c r="O14" s="101"/>
    </row>
    <row r="15" spans="1:15" ht="18" customHeight="1" x14ac:dyDescent="0.25">
      <c r="A15" s="99" t="str">
        <f>"while "&amp;TEXT(H12,"0,000")&amp;" MHh, or "&amp;TEXT(I12,"0.0%")&amp;" of the load is provided under Standard Service or Last Resort service through UI."</f>
        <v>while 185,378 MHh, or 47.5% of the load is provided under Standard Service or Last Resort service through UI.</v>
      </c>
      <c r="B15" s="46"/>
      <c r="C15" s="47"/>
      <c r="D15" s="46"/>
      <c r="E15" s="47"/>
      <c r="F15" s="48"/>
      <c r="G15" s="49"/>
      <c r="H15" s="27"/>
    </row>
    <row r="16" spans="1:15" ht="15" x14ac:dyDescent="0.25">
      <c r="G16" s="49"/>
      <c r="H16" s="27"/>
    </row>
    <row r="17" spans="1:17" ht="18" customHeight="1" x14ac:dyDescent="0.2">
      <c r="A17" s="28" t="s">
        <v>28</v>
      </c>
      <c r="B17" s="29"/>
      <c r="C17" s="29"/>
      <c r="D17" s="29"/>
      <c r="E17" s="29"/>
      <c r="F17" s="29"/>
      <c r="G17" s="50"/>
      <c r="H17" s="24"/>
      <c r="I17" s="25"/>
    </row>
    <row r="18" spans="1:17" ht="18" customHeight="1" x14ac:dyDescent="0.25">
      <c r="A18" s="39"/>
      <c r="B18" s="31" t="s">
        <v>30</v>
      </c>
      <c r="C18" s="51"/>
      <c r="D18" s="31" t="s">
        <v>7</v>
      </c>
      <c r="E18" s="52"/>
      <c r="F18" s="31" t="s">
        <v>8</v>
      </c>
      <c r="G18" s="34"/>
      <c r="H18" s="31" t="s">
        <v>32</v>
      </c>
      <c r="I18" s="33"/>
      <c r="O18" s="100"/>
    </row>
    <row r="19" spans="1:17" ht="18" customHeight="1" x14ac:dyDescent="0.2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D19</f>
        <v>Customers</v>
      </c>
      <c r="G19" s="38" t="s">
        <v>19</v>
      </c>
      <c r="H19" s="37" t="str">
        <f>F19</f>
        <v>Customers</v>
      </c>
      <c r="I19" s="38" t="s">
        <v>18</v>
      </c>
    </row>
    <row r="20" spans="1:17" ht="18" customHeight="1" x14ac:dyDescent="0.2">
      <c r="A20" s="39" t="str">
        <f>A11</f>
        <v>Suppliers</v>
      </c>
      <c r="B20" s="69">
        <f>[2]Summary!$B$18</f>
        <v>65872</v>
      </c>
      <c r="C20" s="40">
        <f>IF(B20=0,0,B20/$B$22)</f>
        <v>0.21542003505742616</v>
      </c>
      <c r="D20" s="68">
        <f>[2]Summary!$B$19</f>
        <v>18663</v>
      </c>
      <c r="E20" s="53">
        <f>IF(D20=0,0,D20/$D$22)</f>
        <v>0.48639562157935889</v>
      </c>
      <c r="F20" s="68">
        <f>[2]Summary!$B$20</f>
        <v>176</v>
      </c>
      <c r="G20" s="40">
        <f>IF(F20=0,0,F20/$F$22)</f>
        <v>0.86699507389162567</v>
      </c>
      <c r="H20" s="41">
        <f>IF(B20+D20+F20=0,0,B20+D20+F20)</f>
        <v>84711</v>
      </c>
      <c r="I20" s="40">
        <f>IF(H20=0,0,H20/$H$22)</f>
        <v>0.24599761294238248</v>
      </c>
      <c r="J20" s="54"/>
      <c r="K20" s="54"/>
      <c r="M20" s="101"/>
    </row>
    <row r="21" spans="1:17" ht="18" customHeight="1" x14ac:dyDescent="0.2">
      <c r="A21" s="39" t="str">
        <f>A12</f>
        <v>UI</v>
      </c>
      <c r="B21" s="69">
        <f>[2]Summary!$B$22</f>
        <v>239912</v>
      </c>
      <c r="C21" s="40">
        <f>IF(B21=0,0,B21/$B$22)</f>
        <v>0.78457996494257387</v>
      </c>
      <c r="D21" s="69">
        <f>[2]Summary!$B$23</f>
        <v>19707</v>
      </c>
      <c r="E21" s="53">
        <f>IF(D21=0,0,D21/$D$22)</f>
        <v>0.51360437842064111</v>
      </c>
      <c r="F21" s="69">
        <f>[2]Summary!$B$24</f>
        <v>27</v>
      </c>
      <c r="G21" s="40">
        <f>IF(F21=0,0,F21/$F$22)</f>
        <v>0.13300492610837439</v>
      </c>
      <c r="H21" s="69">
        <f>IF(B21+D21+F21=0,0,B21+D21+F21)</f>
        <v>259646</v>
      </c>
      <c r="I21" s="40">
        <f>IF(H21=0,0,H21/$H$22)</f>
        <v>0.75400238705761757</v>
      </c>
    </row>
    <row r="22" spans="1:17" ht="18" customHeight="1" x14ac:dyDescent="0.2">
      <c r="A22" s="39" t="str">
        <f>A13</f>
        <v>Total</v>
      </c>
      <c r="B22" s="42">
        <f>SUM(B20:B21)</f>
        <v>305784</v>
      </c>
      <c r="C22" s="55"/>
      <c r="D22" s="42">
        <f>SUM(D20:D21)</f>
        <v>38370</v>
      </c>
      <c r="E22" s="43"/>
      <c r="F22" s="42">
        <f>SUM(F20:F21)</f>
        <v>203</v>
      </c>
      <c r="G22" s="43"/>
      <c r="H22" s="42">
        <f>IF(H20+H21=0,0,H20+H21)</f>
        <v>344357</v>
      </c>
      <c r="I22" s="44"/>
      <c r="N22" s="101"/>
      <c r="Q22" s="101"/>
    </row>
    <row r="23" spans="1:17" ht="18" customHeight="1" x14ac:dyDescent="0.25">
      <c r="G23" s="49"/>
      <c r="H23" s="27"/>
    </row>
    <row r="24" spans="1:17" ht="18" customHeight="1" x14ac:dyDescent="0.25">
      <c r="A24" s="99" t="str">
        <f>"As the above table shows, "&amp;TEXT(H20,"0,000")&amp; " of UI's total customers, or "&amp;TEXT(I20,"0.0%")&amp;" are served by electric suppliers"</f>
        <v>As the above table shows, 84,711 of UI's total customers, or 24.6% are served by electric suppliers</v>
      </c>
      <c r="G24" s="49"/>
      <c r="H24" s="27"/>
      <c r="J24" s="101"/>
    </row>
    <row r="25" spans="1:17" ht="18" customHeight="1" x14ac:dyDescent="0.25">
      <c r="A25" s="99" t="str">
        <f>"while "&amp;TEXT(H21,"0,000")&amp;" or "&amp;TEXT(I21,"0.0%")&amp;" of the customers continue to receive Standard Service or Last Resort service through UI."</f>
        <v>while 259,646 or 75.4% of the customers continue to receive Standard Service or Last Resort service through UI.</v>
      </c>
      <c r="B25" s="56"/>
      <c r="C25" s="56"/>
      <c r="D25" s="56"/>
      <c r="E25" s="56"/>
      <c r="F25" s="57"/>
      <c r="G25" s="58"/>
      <c r="H25" s="27"/>
    </row>
    <row r="26" spans="1:17" ht="18" customHeight="1" x14ac:dyDescent="0.25">
      <c r="B26" s="27"/>
      <c r="C26" s="27"/>
      <c r="D26" s="58"/>
      <c r="E26" s="58"/>
      <c r="F26" s="59"/>
      <c r="G26" s="59"/>
      <c r="H26" s="27"/>
    </row>
    <row r="28" spans="1:17" ht="13.5" x14ac:dyDescent="0.2">
      <c r="A28" s="66" t="s">
        <v>27</v>
      </c>
      <c r="I28" s="101"/>
    </row>
    <row r="29" spans="1:17" ht="13.5" x14ac:dyDescent="0.2">
      <c r="A29" s="66" t="s">
        <v>31</v>
      </c>
    </row>
    <row r="30" spans="1:17" ht="13.5" x14ac:dyDescent="0.2">
      <c r="A30" s="66" t="s">
        <v>49</v>
      </c>
    </row>
    <row r="31" spans="1:17" x14ac:dyDescent="0.2">
      <c r="A31" s="67" t="s">
        <v>17</v>
      </c>
    </row>
    <row r="32" spans="1:17" x14ac:dyDescent="0.2">
      <c r="A32" s="67" t="s">
        <v>23</v>
      </c>
    </row>
    <row r="36" spans="1:1" x14ac:dyDescent="0.2">
      <c r="A36" s="101"/>
    </row>
  </sheetData>
  <phoneticPr fontId="0" type="noConversion"/>
  <printOptions horizontalCentered="1"/>
  <pageMargins left="0.75" right="0.5" top="0.5" bottom="0.25" header="0.5" footer="0"/>
  <pageSetup scale="76" orientation="portrait" r:id="rId1"/>
  <headerFooter alignWithMargins="0">
    <oddHeader xml:space="preserve">&amp;RPage 2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showGridLines="0" showZeros="0" topLeftCell="A6" zoomScaleNormal="100" workbookViewId="0">
      <selection activeCell="F18" sqref="F18"/>
    </sheetView>
  </sheetViews>
  <sheetFormatPr defaultColWidth="9.140625" defaultRowHeight="12.75" x14ac:dyDescent="0.2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2"/>
  </cols>
  <sheetData>
    <row r="1" spans="1:11" s="8" customFormat="1" ht="18" customHeight="1" x14ac:dyDescent="0.2">
      <c r="A1" s="12" t="str">
        <f>'Summary Load Customers '!A1</f>
        <v>The United Illuminating Company</v>
      </c>
      <c r="B1" s="13"/>
      <c r="C1" s="13"/>
      <c r="D1" s="13"/>
      <c r="E1" s="13"/>
      <c r="F1" s="6"/>
      <c r="G1" s="7"/>
      <c r="H1" s="7"/>
      <c r="I1" s="7"/>
      <c r="J1" s="7"/>
      <c r="K1" s="7"/>
    </row>
    <row r="2" spans="1:11" s="8" customFormat="1" ht="18" customHeight="1" x14ac:dyDescent="0.2">
      <c r="A2" s="125" t="s">
        <v>55</v>
      </c>
      <c r="B2" s="125"/>
      <c r="C2" s="125"/>
      <c r="D2" s="125"/>
      <c r="E2" s="125"/>
      <c r="F2" s="125"/>
      <c r="G2" s="24"/>
      <c r="H2" s="25"/>
      <c r="I2" s="25"/>
    </row>
    <row r="3" spans="1:11" s="8" customFormat="1" ht="18" customHeight="1" x14ac:dyDescent="0.2">
      <c r="A3" s="12" t="s">
        <v>87</v>
      </c>
      <c r="B3" s="13"/>
      <c r="C3" s="13"/>
      <c r="D3" s="13"/>
      <c r="E3" s="13"/>
      <c r="F3" s="6"/>
      <c r="G3" s="7"/>
      <c r="H3" s="7"/>
      <c r="I3" s="7"/>
      <c r="J3" s="7"/>
      <c r="K3" s="7"/>
    </row>
    <row r="4" spans="1:11" s="8" customFormat="1" ht="18" customHeight="1" x14ac:dyDescent="0.2">
      <c r="A4" s="12" t="s">
        <v>1</v>
      </c>
      <c r="B4" s="13"/>
      <c r="C4" s="13"/>
      <c r="D4" s="13"/>
      <c r="E4" s="13"/>
      <c r="F4" s="6"/>
      <c r="G4" s="7"/>
      <c r="H4" s="7"/>
      <c r="I4" s="7"/>
      <c r="J4" s="7"/>
      <c r="K4" s="7"/>
    </row>
    <row r="5" spans="1:11" s="8" customFormat="1" ht="18" customHeight="1" x14ac:dyDescent="0.2">
      <c r="A5" s="9" t="str">
        <f>'Summary Load Customers '!A6</f>
        <v>Data as of March 31, 2021</v>
      </c>
      <c r="B5" s="13"/>
      <c r="C5" s="13"/>
      <c r="D5" s="13"/>
      <c r="E5" s="13"/>
      <c r="F5" s="14"/>
      <c r="G5" s="7"/>
      <c r="H5" s="7"/>
      <c r="I5" s="7"/>
      <c r="J5" s="7"/>
      <c r="K5" s="7"/>
    </row>
    <row r="6" spans="1:11" ht="9" customHeight="1" x14ac:dyDescent="0.2">
      <c r="A6" s="15"/>
      <c r="B6" s="5"/>
      <c r="C6" s="16"/>
      <c r="D6" s="16"/>
      <c r="E6" s="10"/>
      <c r="F6" s="10"/>
    </row>
    <row r="7" spans="1:11" s="8" customFormat="1" ht="18" customHeight="1" x14ac:dyDescent="0.2">
      <c r="A7" s="17"/>
      <c r="B7" s="18"/>
      <c r="C7" s="3" t="s">
        <v>2</v>
      </c>
      <c r="D7" s="11"/>
      <c r="E7" s="11"/>
      <c r="F7" s="19"/>
      <c r="G7" s="7"/>
      <c r="H7" s="7"/>
      <c r="I7" s="7"/>
      <c r="J7" s="7"/>
      <c r="K7" s="7"/>
    </row>
    <row r="8" spans="1:11" ht="25.5" x14ac:dyDescent="0.2">
      <c r="A8" s="20"/>
      <c r="B8" s="4" t="s">
        <v>3</v>
      </c>
      <c r="C8" s="4" t="s">
        <v>4</v>
      </c>
      <c r="D8" s="4" t="s">
        <v>5</v>
      </c>
      <c r="E8" s="4" t="s">
        <v>6</v>
      </c>
      <c r="F8" s="4" t="s">
        <v>24</v>
      </c>
    </row>
    <row r="9" spans="1:11" ht="14.25" customHeight="1" x14ac:dyDescent="0.2">
      <c r="A9" s="105">
        <v>1</v>
      </c>
      <c r="B9" t="s">
        <v>50</v>
      </c>
      <c r="C9" s="112">
        <v>4796</v>
      </c>
      <c r="D9" s="113">
        <v>641</v>
      </c>
      <c r="E9" s="114">
        <v>5437</v>
      </c>
      <c r="F9" s="21">
        <f t="shared" ref="F9:F45" si="0">IF(E9=0,"",E9/$E$45)</f>
        <v>6.2822808943324288E-2</v>
      </c>
    </row>
    <row r="10" spans="1:11" ht="14.25" customHeight="1" x14ac:dyDescent="0.2">
      <c r="A10" s="105">
        <v>2</v>
      </c>
      <c r="B10" t="s">
        <v>58</v>
      </c>
      <c r="C10" s="115">
        <v>29</v>
      </c>
      <c r="D10" s="111">
        <v>2823</v>
      </c>
      <c r="E10" s="116">
        <v>2852</v>
      </c>
      <c r="F10" s="21">
        <f t="shared" si="0"/>
        <v>3.2953954590097638E-2</v>
      </c>
    </row>
    <row r="11" spans="1:11" ht="14.25" customHeight="1" x14ac:dyDescent="0.2">
      <c r="A11" s="105">
        <v>3</v>
      </c>
      <c r="B11" t="s">
        <v>59</v>
      </c>
      <c r="C11" s="115">
        <v>15</v>
      </c>
      <c r="D11" s="111">
        <v>193</v>
      </c>
      <c r="E11" s="116">
        <v>208</v>
      </c>
      <c r="F11" s="21">
        <f t="shared" si="0"/>
        <v>2.4033739673002485E-3</v>
      </c>
    </row>
    <row r="12" spans="1:11" ht="14.25" customHeight="1" x14ac:dyDescent="0.2">
      <c r="A12" s="105">
        <v>4</v>
      </c>
      <c r="B12" t="s">
        <v>60</v>
      </c>
      <c r="C12" s="115">
        <v>381</v>
      </c>
      <c r="D12" s="111">
        <v>10</v>
      </c>
      <c r="E12" s="116">
        <v>391</v>
      </c>
      <c r="F12" s="21">
        <f t="shared" si="0"/>
        <v>4.5178808712230635E-3</v>
      </c>
    </row>
    <row r="13" spans="1:11" ht="14.25" customHeight="1" x14ac:dyDescent="0.2">
      <c r="A13" s="105">
        <v>5</v>
      </c>
      <c r="B13" t="s">
        <v>61</v>
      </c>
      <c r="C13" s="115">
        <v>5352</v>
      </c>
      <c r="D13" s="111">
        <v>206</v>
      </c>
      <c r="E13" s="116">
        <v>5558</v>
      </c>
      <c r="F13" s="21">
        <f t="shared" si="0"/>
        <v>6.4220925530071055E-2</v>
      </c>
    </row>
    <row r="14" spans="1:11" ht="14.25" customHeight="1" x14ac:dyDescent="0.2">
      <c r="A14" s="105">
        <v>6</v>
      </c>
      <c r="B14" t="s">
        <v>62</v>
      </c>
      <c r="C14" s="115">
        <v>342</v>
      </c>
      <c r="D14" s="111">
        <v>70</v>
      </c>
      <c r="E14" s="116">
        <v>412</v>
      </c>
      <c r="F14" s="21">
        <f t="shared" si="0"/>
        <v>4.7605292044601072E-3</v>
      </c>
    </row>
    <row r="15" spans="1:11" ht="14.25" customHeight="1" x14ac:dyDescent="0.2">
      <c r="A15" s="105">
        <v>7</v>
      </c>
      <c r="B15" t="s">
        <v>63</v>
      </c>
      <c r="C15" s="115">
        <v>812</v>
      </c>
      <c r="D15" s="111">
        <v>4860</v>
      </c>
      <c r="E15" s="116">
        <v>5672</v>
      </c>
      <c r="F15" s="21">
        <f t="shared" si="0"/>
        <v>6.5538159339072158E-2</v>
      </c>
    </row>
    <row r="16" spans="1:11" ht="14.25" customHeight="1" x14ac:dyDescent="0.2">
      <c r="A16" s="105">
        <v>8</v>
      </c>
      <c r="B16" t="s">
        <v>64</v>
      </c>
      <c r="C16" s="115">
        <v>9625</v>
      </c>
      <c r="D16" s="111">
        <v>1479</v>
      </c>
      <c r="E16" s="116">
        <v>11104</v>
      </c>
      <c r="F16" s="21">
        <f t="shared" si="0"/>
        <v>0.12830319486972094</v>
      </c>
    </row>
    <row r="17" spans="1:6" ht="14.25" customHeight="1" x14ac:dyDescent="0.2">
      <c r="A17" s="105">
        <v>9</v>
      </c>
      <c r="B17" t="s">
        <v>56</v>
      </c>
      <c r="C17" s="115">
        <v>201</v>
      </c>
      <c r="D17" s="111">
        <v>1982</v>
      </c>
      <c r="E17" s="116">
        <v>2183</v>
      </c>
      <c r="F17" s="21">
        <f t="shared" si="0"/>
        <v>2.5223871974117511E-2</v>
      </c>
    </row>
    <row r="18" spans="1:6" ht="14.25" customHeight="1" x14ac:dyDescent="0.2">
      <c r="A18" s="105">
        <v>10</v>
      </c>
      <c r="B18" t="s">
        <v>65</v>
      </c>
      <c r="C18" s="115">
        <v>4627</v>
      </c>
      <c r="D18" s="111">
        <v>1391</v>
      </c>
      <c r="E18" s="116">
        <v>6018</v>
      </c>
      <c r="F18" s="21">
        <f t="shared" si="0"/>
        <v>6.9536079496215847E-2</v>
      </c>
    </row>
    <row r="19" spans="1:6" ht="14.25" customHeight="1" x14ac:dyDescent="0.2">
      <c r="A19" s="105">
        <v>11</v>
      </c>
      <c r="B19" t="s">
        <v>66</v>
      </c>
      <c r="C19" s="115">
        <v>1886</v>
      </c>
      <c r="D19" s="111">
        <v>285</v>
      </c>
      <c r="E19" s="116">
        <v>2171</v>
      </c>
      <c r="F19" s="21">
        <f t="shared" si="0"/>
        <v>2.5085215783696341E-2</v>
      </c>
    </row>
    <row r="20" spans="1:6" ht="14.25" customHeight="1" x14ac:dyDescent="0.2">
      <c r="A20" s="105">
        <v>12</v>
      </c>
      <c r="B20" t="s">
        <v>89</v>
      </c>
      <c r="C20" s="115">
        <v>496</v>
      </c>
      <c r="D20" s="111">
        <v>283</v>
      </c>
      <c r="E20" s="116">
        <v>779</v>
      </c>
      <c r="F20" s="21">
        <f t="shared" si="0"/>
        <v>9.0010976948408337E-3</v>
      </c>
    </row>
    <row r="21" spans="1:6" ht="14.25" customHeight="1" x14ac:dyDescent="0.2">
      <c r="A21" s="105">
        <v>13</v>
      </c>
      <c r="B21" t="s">
        <v>67</v>
      </c>
      <c r="C21" s="115">
        <v>10</v>
      </c>
      <c r="D21" s="111">
        <v>2</v>
      </c>
      <c r="E21" s="116">
        <v>12</v>
      </c>
      <c r="F21" s="21">
        <f t="shared" si="0"/>
        <v>1.3865619042116817E-4</v>
      </c>
    </row>
    <row r="22" spans="1:6" ht="14.25" customHeight="1" x14ac:dyDescent="0.2">
      <c r="A22" s="105">
        <v>14</v>
      </c>
      <c r="B22" t="s">
        <v>68</v>
      </c>
      <c r="C22" s="115">
        <v>323</v>
      </c>
      <c r="D22" s="111">
        <v>77</v>
      </c>
      <c r="E22" s="116">
        <v>400</v>
      </c>
      <c r="F22" s="21">
        <f t="shared" si="0"/>
        <v>4.6218730140389396E-3</v>
      </c>
    </row>
    <row r="23" spans="1:6" ht="14.25" customHeight="1" x14ac:dyDescent="0.2">
      <c r="A23" s="105">
        <v>15</v>
      </c>
      <c r="B23" t="s">
        <v>69</v>
      </c>
      <c r="C23" s="115">
        <v>30</v>
      </c>
      <c r="D23" s="111"/>
      <c r="E23" s="116">
        <v>30</v>
      </c>
      <c r="F23" s="21">
        <f t="shared" si="0"/>
        <v>3.4664047605292045E-4</v>
      </c>
    </row>
    <row r="24" spans="1:6" ht="14.25" customHeight="1" x14ac:dyDescent="0.2">
      <c r="A24" s="105">
        <v>16</v>
      </c>
      <c r="B24" t="s">
        <v>70</v>
      </c>
      <c r="C24" s="115">
        <v>790</v>
      </c>
      <c r="D24" s="111">
        <v>1227</v>
      </c>
      <c r="E24" s="116">
        <v>2017</v>
      </c>
      <c r="F24" s="21">
        <f t="shared" si="0"/>
        <v>2.3305794673291351E-2</v>
      </c>
    </row>
    <row r="25" spans="1:6" ht="14.25" customHeight="1" x14ac:dyDescent="0.2">
      <c r="A25" s="105">
        <v>17</v>
      </c>
      <c r="B25" t="s">
        <v>71</v>
      </c>
      <c r="C25" s="115">
        <v>90</v>
      </c>
      <c r="D25" s="111">
        <v>114</v>
      </c>
      <c r="E25" s="116">
        <v>204</v>
      </c>
      <c r="F25" s="21">
        <f t="shared" si="0"/>
        <v>2.3571552371598591E-3</v>
      </c>
    </row>
    <row r="26" spans="1:6" ht="14.25" customHeight="1" x14ac:dyDescent="0.2">
      <c r="A26" s="105">
        <v>18</v>
      </c>
      <c r="B26" t="s">
        <v>12</v>
      </c>
      <c r="C26" s="115">
        <v>5441</v>
      </c>
      <c r="D26" s="111">
        <v>716</v>
      </c>
      <c r="E26" s="116">
        <v>6157</v>
      </c>
      <c r="F26" s="21">
        <f t="shared" si="0"/>
        <v>7.1142180368594377E-2</v>
      </c>
    </row>
    <row r="27" spans="1:6" ht="14.25" customHeight="1" x14ac:dyDescent="0.2">
      <c r="A27" s="105">
        <v>19</v>
      </c>
      <c r="B27" t="s">
        <v>72</v>
      </c>
      <c r="C27" s="115">
        <v>391</v>
      </c>
      <c r="D27" s="111">
        <v>42</v>
      </c>
      <c r="E27" s="116">
        <v>433</v>
      </c>
      <c r="F27" s="21">
        <f t="shared" si="0"/>
        <v>5.0031775376971517E-3</v>
      </c>
    </row>
    <row r="28" spans="1:6" ht="14.25" customHeight="1" x14ac:dyDescent="0.2">
      <c r="A28" s="105">
        <v>20</v>
      </c>
      <c r="B28" t="s">
        <v>73</v>
      </c>
      <c r="C28" s="115">
        <v>168</v>
      </c>
      <c r="D28" s="111">
        <v>141</v>
      </c>
      <c r="E28" s="116">
        <v>309</v>
      </c>
      <c r="F28" s="21">
        <f t="shared" si="0"/>
        <v>3.5703969033450806E-3</v>
      </c>
    </row>
    <row r="29" spans="1:6" ht="14.25" customHeight="1" x14ac:dyDescent="0.2">
      <c r="A29" s="105">
        <v>21</v>
      </c>
      <c r="B29" t="s">
        <v>88</v>
      </c>
      <c r="C29" s="115"/>
      <c r="D29" s="111">
        <v>137</v>
      </c>
      <c r="E29" s="116">
        <v>137</v>
      </c>
      <c r="F29" s="21">
        <f t="shared" si="0"/>
        <v>1.5829915073083368E-3</v>
      </c>
    </row>
    <row r="30" spans="1:6" ht="14.25" customHeight="1" x14ac:dyDescent="0.2">
      <c r="A30" s="105">
        <v>22</v>
      </c>
      <c r="B30" t="s">
        <v>74</v>
      </c>
      <c r="C30" s="115">
        <v>62</v>
      </c>
      <c r="D30" s="111">
        <v>339</v>
      </c>
      <c r="E30" s="116">
        <v>401</v>
      </c>
      <c r="F30" s="21">
        <f t="shared" si="0"/>
        <v>4.633427696574037E-3</v>
      </c>
    </row>
    <row r="31" spans="1:6" ht="14.25" customHeight="1" x14ac:dyDescent="0.2">
      <c r="A31" s="105">
        <v>23</v>
      </c>
      <c r="B31" t="s">
        <v>75</v>
      </c>
      <c r="C31" s="115">
        <v>5098</v>
      </c>
      <c r="D31" s="111">
        <v>160</v>
      </c>
      <c r="E31" s="116">
        <v>5258</v>
      </c>
      <c r="F31" s="21">
        <f t="shared" si="0"/>
        <v>6.075452076954186E-2</v>
      </c>
    </row>
    <row r="32" spans="1:6" ht="14.25" customHeight="1" x14ac:dyDescent="0.2">
      <c r="A32" s="105">
        <v>24</v>
      </c>
      <c r="B32" t="s">
        <v>76</v>
      </c>
      <c r="C32" s="115">
        <v>720</v>
      </c>
      <c r="D32" s="111">
        <v>108</v>
      </c>
      <c r="E32" s="116">
        <v>828</v>
      </c>
      <c r="F32" s="21">
        <f t="shared" si="0"/>
        <v>9.5672771390606041E-3</v>
      </c>
    </row>
    <row r="33" spans="1:10" ht="14.25" customHeight="1" x14ac:dyDescent="0.2">
      <c r="A33" s="105">
        <v>25</v>
      </c>
      <c r="B33" t="s">
        <v>77</v>
      </c>
      <c r="C33" s="115">
        <v>3012</v>
      </c>
      <c r="D33" s="111">
        <v>706</v>
      </c>
      <c r="E33" s="116">
        <v>3718</v>
      </c>
      <c r="F33" s="21">
        <f t="shared" si="0"/>
        <v>4.2960309665491941E-2</v>
      </c>
    </row>
    <row r="34" spans="1:10" ht="14.25" customHeight="1" x14ac:dyDescent="0.2">
      <c r="A34" s="105">
        <v>26</v>
      </c>
      <c r="B34" t="s">
        <v>90</v>
      </c>
      <c r="C34" s="115">
        <v>44</v>
      </c>
      <c r="D34" s="111">
        <v>20</v>
      </c>
      <c r="E34" s="116">
        <v>64</v>
      </c>
      <c r="F34" s="21">
        <f t="shared" si="0"/>
        <v>7.3949968224623034E-4</v>
      </c>
    </row>
    <row r="35" spans="1:10" ht="14.25" customHeight="1" x14ac:dyDescent="0.2">
      <c r="A35" s="105">
        <v>27</v>
      </c>
      <c r="B35" t="s">
        <v>78</v>
      </c>
      <c r="C35" s="115">
        <v>52</v>
      </c>
      <c r="D35" s="111">
        <v>49</v>
      </c>
      <c r="E35" s="116">
        <v>101</v>
      </c>
      <c r="F35" s="21">
        <f t="shared" si="0"/>
        <v>1.1670229360448321E-3</v>
      </c>
    </row>
    <row r="36" spans="1:10" ht="14.25" customHeight="1" x14ac:dyDescent="0.2">
      <c r="A36" s="105">
        <v>28</v>
      </c>
      <c r="B36" t="s">
        <v>79</v>
      </c>
      <c r="C36" s="115">
        <v>4199</v>
      </c>
      <c r="D36" s="111">
        <v>279</v>
      </c>
      <c r="E36" s="116">
        <v>4478</v>
      </c>
      <c r="F36" s="21">
        <f t="shared" si="0"/>
        <v>5.1741868392165928E-2</v>
      </c>
    </row>
    <row r="37" spans="1:10" ht="14.25" customHeight="1" x14ac:dyDescent="0.2">
      <c r="A37" s="105">
        <v>29</v>
      </c>
      <c r="B37" t="s">
        <v>80</v>
      </c>
      <c r="C37" s="115">
        <v>697</v>
      </c>
      <c r="D37" s="111">
        <v>323</v>
      </c>
      <c r="E37" s="116">
        <v>1020</v>
      </c>
      <c r="F37" s="21">
        <f t="shared" si="0"/>
        <v>1.1785776185799296E-2</v>
      </c>
    </row>
    <row r="38" spans="1:10" ht="14.25" customHeight="1" x14ac:dyDescent="0.2">
      <c r="A38" s="105">
        <v>30</v>
      </c>
      <c r="B38" t="s">
        <v>81</v>
      </c>
      <c r="C38" s="115"/>
      <c r="D38" s="111">
        <v>11</v>
      </c>
      <c r="E38" s="116">
        <v>11</v>
      </c>
      <c r="F38" s="21">
        <f t="shared" si="0"/>
        <v>1.2710150788607083E-4</v>
      </c>
    </row>
    <row r="39" spans="1:10" ht="14.25" customHeight="1" x14ac:dyDescent="0.2">
      <c r="A39" s="105">
        <v>31</v>
      </c>
      <c r="B39" t="s">
        <v>54</v>
      </c>
      <c r="C39" s="115">
        <v>176</v>
      </c>
      <c r="D39" s="111">
        <v>70</v>
      </c>
      <c r="E39" s="116">
        <v>246</v>
      </c>
      <c r="F39" s="21">
        <f t="shared" si="0"/>
        <v>2.8424519036339478E-3</v>
      </c>
    </row>
    <row r="40" spans="1:10" ht="14.25" customHeight="1" x14ac:dyDescent="0.2">
      <c r="A40" s="105">
        <v>32</v>
      </c>
      <c r="B40" t="s">
        <v>82</v>
      </c>
      <c r="C40" s="115">
        <v>10496</v>
      </c>
      <c r="D40" s="111">
        <v>281</v>
      </c>
      <c r="E40" s="116">
        <v>10777</v>
      </c>
      <c r="F40" s="21">
        <f t="shared" si="0"/>
        <v>0.12452481368074413</v>
      </c>
    </row>
    <row r="41" spans="1:10" ht="14.25" customHeight="1" x14ac:dyDescent="0.2">
      <c r="A41" s="105">
        <v>33</v>
      </c>
      <c r="B41" t="s">
        <v>83</v>
      </c>
      <c r="C41" s="115">
        <v>3557</v>
      </c>
      <c r="D41" s="111">
        <v>289</v>
      </c>
      <c r="E41" s="116">
        <v>3846</v>
      </c>
      <c r="F41" s="21">
        <f t="shared" si="0"/>
        <v>4.44393090299844E-2</v>
      </c>
    </row>
    <row r="42" spans="1:10" ht="14.25" customHeight="1" x14ac:dyDescent="0.2">
      <c r="A42" s="105">
        <v>34</v>
      </c>
      <c r="B42" t="s">
        <v>84</v>
      </c>
      <c r="C42" s="115">
        <v>312</v>
      </c>
      <c r="D42" s="111">
        <v>63</v>
      </c>
      <c r="E42" s="116">
        <v>375</v>
      </c>
      <c r="F42" s="21">
        <f t="shared" si="0"/>
        <v>4.3330059506615053E-3</v>
      </c>
    </row>
    <row r="43" spans="1:10" ht="14.25" customHeight="1" x14ac:dyDescent="0.2">
      <c r="A43" s="105">
        <v>35</v>
      </c>
      <c r="B43" t="s">
        <v>86</v>
      </c>
      <c r="C43" s="115">
        <v>30</v>
      </c>
      <c r="D43" s="111">
        <v>16</v>
      </c>
      <c r="E43" s="116">
        <v>46</v>
      </c>
      <c r="F43" s="21">
        <f t="shared" si="0"/>
        <v>5.31515396614478E-4</v>
      </c>
    </row>
    <row r="44" spans="1:10" ht="14.25" customHeight="1" x14ac:dyDescent="0.2">
      <c r="A44" s="105">
        <v>36</v>
      </c>
      <c r="B44" s="124" t="s">
        <v>85</v>
      </c>
      <c r="C44" s="115">
        <v>1612</v>
      </c>
      <c r="D44" s="120">
        <v>313</v>
      </c>
      <c r="E44" s="116">
        <v>1925</v>
      </c>
      <c r="F44" s="21">
        <f t="shared" si="0"/>
        <v>2.2242763880062397E-2</v>
      </c>
    </row>
    <row r="45" spans="1:10" x14ac:dyDescent="0.2">
      <c r="A45" s="105"/>
      <c r="B45" s="122" t="s">
        <v>57</v>
      </c>
      <c r="C45" s="123">
        <v>66767</v>
      </c>
      <c r="D45" s="117">
        <v>19778</v>
      </c>
      <c r="E45" s="118">
        <v>86545</v>
      </c>
      <c r="F45" s="21">
        <f t="shared" si="0"/>
        <v>1</v>
      </c>
      <c r="G45" s="108"/>
    </row>
    <row r="46" spans="1:10" x14ac:dyDescent="0.2">
      <c r="A46" s="106"/>
      <c r="B46" s="119"/>
      <c r="C46" s="120"/>
      <c r="D46" s="120"/>
      <c r="E46" s="120"/>
      <c r="F46" s="121"/>
      <c r="G46" s="108"/>
    </row>
    <row r="47" spans="1:10" x14ac:dyDescent="0.2">
      <c r="A47" s="1" t="s">
        <v>22</v>
      </c>
      <c r="B47" s="103"/>
    </row>
    <row r="48" spans="1:10" x14ac:dyDescent="0.2">
      <c r="A48" s="1" t="s">
        <v>21</v>
      </c>
      <c r="J48" s="104"/>
    </row>
    <row r="49" spans="1:1" x14ac:dyDescent="0.2">
      <c r="A49" s="1" t="s">
        <v>17</v>
      </c>
    </row>
  </sheetData>
  <sortState ref="B9:E44">
    <sortCondition ref="B8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6"/>
  <sheetViews>
    <sheetView topLeftCell="A19" zoomScaleNormal="100" zoomScalePageLayoutView="70" workbookViewId="0">
      <selection activeCell="F37" sqref="F37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7.7109375" style="2" customWidth="1"/>
    <col min="9" max="9" width="11.7109375" style="2" customWidth="1"/>
    <col min="10" max="16384" width="9.140625" style="2"/>
  </cols>
  <sheetData>
    <row r="1" spans="1:9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9" s="8" customFormat="1" ht="18" customHeight="1" x14ac:dyDescent="0.2">
      <c r="A2" s="125" t="s">
        <v>55</v>
      </c>
      <c r="B2" s="125"/>
      <c r="C2" s="125"/>
      <c r="D2" s="125"/>
      <c r="E2" s="125"/>
      <c r="F2" s="125"/>
      <c r="G2" s="125"/>
      <c r="H2" s="125"/>
      <c r="I2" s="25"/>
    </row>
    <row r="3" spans="1:9" s="8" customFormat="1" ht="18" customHeight="1" x14ac:dyDescent="0.2">
      <c r="A3" s="22" t="s">
        <v>48</v>
      </c>
      <c r="B3" s="23"/>
      <c r="C3" s="23"/>
      <c r="D3" s="23"/>
      <c r="E3" s="23"/>
      <c r="F3" s="23"/>
      <c r="G3" s="24"/>
      <c r="H3" s="25"/>
      <c r="I3" s="25"/>
    </row>
    <row r="4" spans="1:9" s="8" customFormat="1" ht="18" customHeight="1" x14ac:dyDescent="0.2">
      <c r="A4" s="22" t="s">
        <v>47</v>
      </c>
      <c r="B4" s="23"/>
      <c r="C4" s="23"/>
      <c r="D4" s="23"/>
      <c r="E4" s="23"/>
      <c r="F4" s="23"/>
      <c r="G4" s="24"/>
      <c r="H4" s="25"/>
      <c r="I4" s="25"/>
    </row>
    <row r="5" spans="1:9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9" s="8" customFormat="1" ht="18" customHeight="1" x14ac:dyDescent="0.2">
      <c r="A6" s="9" t="str">
        <f>'Summary Load Customers '!A6</f>
        <v>Data as of March 31, 2021</v>
      </c>
      <c r="B6" s="25"/>
      <c r="C6" s="25"/>
      <c r="D6" s="70"/>
      <c r="E6" s="70"/>
      <c r="F6" s="70"/>
      <c r="G6" s="25"/>
      <c r="H6" s="25"/>
      <c r="I6" s="25"/>
    </row>
    <row r="7" spans="1:9" ht="18" customHeight="1" x14ac:dyDescent="0.25">
      <c r="B7" s="27"/>
      <c r="C7" s="27"/>
      <c r="D7" s="58"/>
      <c r="E7" s="58"/>
      <c r="F7" s="59"/>
      <c r="G7" s="59"/>
      <c r="H7" s="27"/>
    </row>
    <row r="8" spans="1:9" ht="18" customHeight="1" x14ac:dyDescent="0.25">
      <c r="A8" s="60" t="s">
        <v>41</v>
      </c>
      <c r="B8" s="61"/>
      <c r="C8" s="61"/>
      <c r="D8" s="62"/>
      <c r="E8" s="62"/>
      <c r="F8" s="63"/>
      <c r="G8" s="63"/>
      <c r="H8" s="61"/>
      <c r="I8" s="64"/>
    </row>
    <row r="9" spans="1:9" ht="18" customHeight="1" x14ac:dyDescent="0.3">
      <c r="B9" s="27"/>
      <c r="C9" s="27"/>
      <c r="D9" s="58"/>
      <c r="E9" s="58"/>
      <c r="F9" s="65"/>
      <c r="G9" s="65"/>
      <c r="H9" s="27"/>
    </row>
    <row r="10" spans="1:9" ht="18" customHeight="1" x14ac:dyDescent="0.2">
      <c r="A10" s="28" t="s">
        <v>52</v>
      </c>
      <c r="B10" s="29"/>
      <c r="C10" s="29"/>
      <c r="D10" s="29"/>
      <c r="E10" s="29"/>
      <c r="F10" s="29"/>
      <c r="G10" s="50"/>
      <c r="H10" s="24"/>
      <c r="I10" s="25"/>
    </row>
    <row r="11" spans="1:9" ht="18" customHeight="1" x14ac:dyDescent="0.25">
      <c r="A11" s="39"/>
      <c r="B11" s="31" t="s">
        <v>4</v>
      </c>
      <c r="C11" s="51"/>
      <c r="D11" s="31" t="s">
        <v>25</v>
      </c>
      <c r="E11" s="52"/>
      <c r="F11" s="31" t="s">
        <v>32</v>
      </c>
      <c r="G11" s="33"/>
    </row>
    <row r="12" spans="1:9" ht="18" customHeight="1" x14ac:dyDescent="0.2">
      <c r="A12" s="36"/>
      <c r="B12" s="37" t="s">
        <v>13</v>
      </c>
      <c r="C12" s="38" t="s">
        <v>19</v>
      </c>
      <c r="D12" s="37" t="str">
        <f>B12</f>
        <v>Customers</v>
      </c>
      <c r="E12" s="38" t="s">
        <v>19</v>
      </c>
      <c r="F12" s="37" t="str">
        <f>B12</f>
        <v>Customers</v>
      </c>
      <c r="G12" s="38" t="s">
        <v>18</v>
      </c>
    </row>
    <row r="13" spans="1:9" ht="18" customHeight="1" x14ac:dyDescent="0.2">
      <c r="A13" s="39" t="s">
        <v>43</v>
      </c>
      <c r="B13" s="42">
        <f>REC_programs_detail!B23</f>
        <v>2896</v>
      </c>
      <c r="C13" s="43">
        <f>IF(B13=0,0,B13/'Summary Load Customers '!$B$22)</f>
        <v>9.4707375140622146E-3</v>
      </c>
      <c r="D13" s="42">
        <f>REC_programs_detail!C23</f>
        <v>32</v>
      </c>
      <c r="E13" s="43">
        <f>IF(D13=0,0,D13/('Summary Load Customers '!$D$22+'Summary Load Customers '!$F$22))</f>
        <v>8.2959583128094786E-4</v>
      </c>
      <c r="F13" s="42">
        <f>B13+D13</f>
        <v>2928</v>
      </c>
      <c r="G13" s="43">
        <f>IF(F13=0,0,F13/'Summary Load Customers '!$H$22)</f>
        <v>8.5028037763135358E-3</v>
      </c>
    </row>
    <row r="14" spans="1:9" ht="15.75" customHeight="1" x14ac:dyDescent="0.25">
      <c r="G14" s="49"/>
      <c r="H14" s="27"/>
    </row>
    <row r="15" spans="1:9" ht="15.75" customHeight="1" x14ac:dyDescent="0.25">
      <c r="A15" s="99" t="str">
        <f>"As the above table shows, "&amp;TEXT(F13,"0,000")&amp;" of UI's customers, or "&amp;TEXT(G13,"0.0%")&amp;" are participating in the CTCleanEnergyOptions Program."</f>
        <v>As the above table shows, 2,928 of UI's customers, or 0.9% are participating in the CTCleanEnergyOptions Program.</v>
      </c>
      <c r="G15" s="49"/>
      <c r="H15" s="27"/>
    </row>
    <row r="16" spans="1:9" ht="15.75" customHeight="1" x14ac:dyDescent="0.25">
      <c r="G16" s="49"/>
      <c r="H16" s="27"/>
    </row>
    <row r="17" spans="1:9" ht="18" customHeight="1" x14ac:dyDescent="0.2">
      <c r="A17" s="28" t="s">
        <v>42</v>
      </c>
      <c r="B17" s="29"/>
      <c r="C17" s="29"/>
      <c r="D17" s="29"/>
      <c r="E17" s="29"/>
      <c r="F17" s="29"/>
      <c r="G17" s="50"/>
      <c r="H17" s="24"/>
      <c r="I17" s="25"/>
    </row>
    <row r="18" spans="1:9" ht="18" customHeight="1" x14ac:dyDescent="0.25">
      <c r="A18" s="39"/>
      <c r="B18" s="31" t="s">
        <v>4</v>
      </c>
      <c r="C18" s="51"/>
      <c r="D18" s="31" t="s">
        <v>25</v>
      </c>
      <c r="E18" s="52"/>
      <c r="F18" s="31" t="s">
        <v>32</v>
      </c>
      <c r="G18" s="33"/>
    </row>
    <row r="19" spans="1:9" ht="18" customHeight="1" x14ac:dyDescent="0.2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B19</f>
        <v>Customers</v>
      </c>
      <c r="G19" s="38" t="s">
        <v>18</v>
      </c>
    </row>
    <row r="20" spans="1:9" ht="18" customHeight="1" x14ac:dyDescent="0.2">
      <c r="A20" s="39" t="s">
        <v>44</v>
      </c>
      <c r="B20" s="42">
        <f>REC_programs_detail!B29</f>
        <v>552</v>
      </c>
      <c r="C20" s="43">
        <f>IF(B20=0,0,B20/'Summary Load Customers '!$B$22)</f>
        <v>1.8051958245035712E-3</v>
      </c>
      <c r="D20" s="42">
        <f>REC_programs_detail!C29</f>
        <v>55</v>
      </c>
      <c r="E20" s="43">
        <f>IF(D20=0,0,D20/('Summary Load Customers '!$D$22+'Summary Load Customers '!$F$22))</f>
        <v>1.425867835014129E-3</v>
      </c>
      <c r="F20" s="42">
        <f>B20+D20</f>
        <v>607</v>
      </c>
      <c r="G20" s="43">
        <f>IF(F20=0,0,F20/'Summary Load Customers '!$H$22)</f>
        <v>1.7627055642835778E-3</v>
      </c>
    </row>
    <row r="21" spans="1:9" ht="18" customHeight="1" x14ac:dyDescent="0.2">
      <c r="B21" s="48"/>
      <c r="C21" s="47"/>
      <c r="D21" s="48"/>
      <c r="E21" s="47"/>
      <c r="F21" s="48"/>
      <c r="G21" s="47"/>
      <c r="H21" s="48"/>
      <c r="I21" s="47"/>
    </row>
    <row r="22" spans="1:9" ht="18" customHeight="1" x14ac:dyDescent="0.2">
      <c r="A22" s="99" t="str">
        <f>"As the above table shows, "&amp;TEXT(F20,"0,000")&amp;" of UI's customers, or "&amp;TEXT(G20,"0.0%")&amp;" are participating in the REC only program."</f>
        <v>As the above table shows, 0,607 of UI's customers, or 0.2% are participating in the REC only program.</v>
      </c>
      <c r="B22" s="48"/>
      <c r="C22" s="47"/>
      <c r="D22" s="48"/>
      <c r="E22" s="47"/>
      <c r="F22" s="48"/>
      <c r="G22" s="47"/>
      <c r="H22" s="48"/>
      <c r="I22" s="47"/>
    </row>
    <row r="23" spans="1:9" ht="14.25" x14ac:dyDescent="0.2">
      <c r="A23" s="45"/>
    </row>
    <row r="24" spans="1:9" ht="15" x14ac:dyDescent="0.2">
      <c r="A24" s="28" t="s">
        <v>46</v>
      </c>
      <c r="B24" s="29"/>
      <c r="C24" s="29"/>
      <c r="D24" s="29"/>
      <c r="E24" s="29"/>
      <c r="F24" s="29"/>
      <c r="G24" s="50"/>
      <c r="H24" s="24"/>
      <c r="I24" s="25"/>
    </row>
    <row r="25" spans="1:9" ht="15" x14ac:dyDescent="0.25">
      <c r="A25" s="39"/>
      <c r="B25" s="31" t="s">
        <v>4</v>
      </c>
      <c r="C25" s="51"/>
      <c r="D25" s="31" t="s">
        <v>25</v>
      </c>
      <c r="E25" s="52"/>
      <c r="F25" s="31" t="s">
        <v>32</v>
      </c>
      <c r="G25" s="33"/>
    </row>
    <row r="26" spans="1:9" ht="15" x14ac:dyDescent="0.2">
      <c r="A26" s="36"/>
      <c r="B26" s="37" t="s">
        <v>13</v>
      </c>
      <c r="C26" s="38" t="s">
        <v>19</v>
      </c>
      <c r="D26" s="37" t="str">
        <f>B26</f>
        <v>Customers</v>
      </c>
      <c r="E26" s="38" t="s">
        <v>19</v>
      </c>
      <c r="F26" s="37" t="str">
        <f>B26</f>
        <v>Customers</v>
      </c>
      <c r="G26" s="38" t="s">
        <v>18</v>
      </c>
    </row>
    <row r="27" spans="1:9" ht="14.25" x14ac:dyDescent="0.2">
      <c r="A27" s="39" t="s">
        <v>45</v>
      </c>
      <c r="B27" s="42">
        <f>B13+B20</f>
        <v>3448</v>
      </c>
      <c r="C27" s="43">
        <f>IF(B27=0,0,B27/'Summary Load Customers '!$B$22)</f>
        <v>1.1275933338565785E-2</v>
      </c>
      <c r="D27" s="42">
        <f>D13+D20</f>
        <v>87</v>
      </c>
      <c r="E27" s="43">
        <f>IF(D27=0,0,D27/('Summary Load Customers '!$D$22+'Summary Load Customers '!$F$22))</f>
        <v>2.2554636662950769E-3</v>
      </c>
      <c r="F27" s="42">
        <f>B27+D27</f>
        <v>3535</v>
      </c>
      <c r="G27" s="43">
        <f>IF(F27=0,0,F27/'Summary Load Customers '!$H$22)</f>
        <v>1.0265509340597112E-2</v>
      </c>
    </row>
    <row r="28" spans="1:9" ht="15" x14ac:dyDescent="0.25">
      <c r="G28" s="49"/>
      <c r="H28" s="27"/>
    </row>
    <row r="29" spans="1:9" ht="15" x14ac:dyDescent="0.25">
      <c r="A29" s="99" t="str">
        <f>"As the above table shows, "&amp;TEXT(F27,"0,000")&amp;" of UI's customers, or "&amp;TEXT(G27,"0.0%")&amp;" are participating in the combined REC programs."</f>
        <v>As the above table shows, 3,535 of UI's customers, or 1.0% are participating in the combined REC programs.</v>
      </c>
      <c r="G29" s="49"/>
      <c r="H29" s="27"/>
    </row>
    <row r="31" spans="1:9" ht="13.5" x14ac:dyDescent="0.2">
      <c r="A31" s="66" t="s">
        <v>31</v>
      </c>
    </row>
    <row r="32" spans="1:9" ht="13.5" x14ac:dyDescent="0.2">
      <c r="A32" s="66"/>
    </row>
    <row r="33" spans="1:1" ht="13.5" x14ac:dyDescent="0.2">
      <c r="A33" s="66" t="s">
        <v>53</v>
      </c>
    </row>
    <row r="34" spans="1:1" x14ac:dyDescent="0.2">
      <c r="A34" s="67" t="s">
        <v>51</v>
      </c>
    </row>
    <row r="36" spans="1:1" x14ac:dyDescent="0.2">
      <c r="A36" s="67" t="s">
        <v>17</v>
      </c>
    </row>
  </sheetData>
  <mergeCells count="1">
    <mergeCell ref="A2:H2"/>
  </mergeCells>
  <phoneticPr fontId="10" type="noConversion"/>
  <printOptions horizontalCentered="1"/>
  <pageMargins left="0.75" right="0.5" top="0.5" bottom="0.25" header="0.5" footer="0"/>
  <pageSetup scale="89" orientation="portrait" r:id="rId1"/>
  <headerFooter alignWithMargins="0">
    <oddHeader xml:space="preserve">&amp;RPage 2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2"/>
  <sheetViews>
    <sheetView showZeros="0" topLeftCell="A5" zoomScale="110" zoomScaleNormal="110" workbookViewId="0">
      <selection activeCell="B17" sqref="B17"/>
    </sheetView>
  </sheetViews>
  <sheetFormatPr defaultColWidth="9.140625" defaultRowHeight="11.25" x14ac:dyDescent="0.2"/>
  <cols>
    <col min="1" max="1" width="28" style="74" customWidth="1"/>
    <col min="2" max="3" width="19.140625" style="74" customWidth="1"/>
    <col min="4" max="4" width="20.28515625" style="74" customWidth="1"/>
    <col min="5" max="5" width="7.140625" style="74" customWidth="1"/>
    <col min="6" max="6" width="23.28515625" style="74" bestFit="1" customWidth="1"/>
    <col min="7" max="7" width="10.42578125" style="74" customWidth="1"/>
    <col min="8" max="16384" width="9.140625" style="74"/>
  </cols>
  <sheetData>
    <row r="1" spans="1:9" s="73" customFormat="1" ht="15" customHeight="1" x14ac:dyDescent="0.2">
      <c r="A1" s="126" t="str">
        <f>'Summary Load Customers '!A1</f>
        <v>The United Illuminating Company</v>
      </c>
      <c r="B1" s="126"/>
      <c r="C1" s="126"/>
      <c r="D1" s="126"/>
      <c r="E1" s="71"/>
      <c r="F1" s="71"/>
      <c r="G1" s="72"/>
    </row>
    <row r="2" spans="1:9" s="8" customFormat="1" ht="18" customHeight="1" x14ac:dyDescent="0.2">
      <c r="A2" s="127" t="s">
        <v>55</v>
      </c>
      <c r="B2" s="127"/>
      <c r="C2" s="127"/>
      <c r="D2" s="127"/>
      <c r="E2" s="23"/>
      <c r="F2" s="23"/>
      <c r="G2" s="24"/>
      <c r="H2" s="25"/>
      <c r="I2" s="25"/>
    </row>
    <row r="3" spans="1:9" s="73" customFormat="1" ht="15" customHeight="1" x14ac:dyDescent="0.2">
      <c r="A3" s="126" t="s">
        <v>34</v>
      </c>
      <c r="B3" s="126"/>
      <c r="C3" s="126"/>
      <c r="D3" s="126"/>
      <c r="E3" s="71"/>
      <c r="F3" s="71"/>
      <c r="G3" s="72"/>
    </row>
    <row r="4" spans="1:9" s="73" customFormat="1" ht="15" customHeight="1" x14ac:dyDescent="0.2">
      <c r="A4" s="126" t="s">
        <v>1</v>
      </c>
      <c r="B4" s="126"/>
      <c r="C4" s="126"/>
      <c r="D4" s="126"/>
      <c r="E4" s="71"/>
      <c r="F4" s="71"/>
      <c r="G4" s="72"/>
    </row>
    <row r="5" spans="1:9" s="73" customFormat="1" ht="15" customHeight="1" x14ac:dyDescent="0.2">
      <c r="A5" s="126" t="str">
        <f>'Summary Load Customers '!A6</f>
        <v>Data as of March 31, 2021</v>
      </c>
      <c r="B5" s="126"/>
      <c r="C5" s="126"/>
      <c r="D5" s="126"/>
      <c r="E5" s="71"/>
      <c r="F5" s="71"/>
      <c r="G5" s="72"/>
    </row>
    <row r="6" spans="1:9" x14ac:dyDescent="0.2">
      <c r="C6" s="75"/>
      <c r="D6" s="75"/>
      <c r="E6" s="75"/>
      <c r="F6" s="75"/>
      <c r="G6" s="75"/>
    </row>
    <row r="7" spans="1:9" s="81" customFormat="1" ht="22.5" x14ac:dyDescent="0.2">
      <c r="A7" s="76" t="s">
        <v>36</v>
      </c>
      <c r="B7" s="77" t="s">
        <v>4</v>
      </c>
      <c r="C7" s="76" t="s">
        <v>5</v>
      </c>
      <c r="D7" s="76" t="s">
        <v>32</v>
      </c>
      <c r="E7" s="78"/>
      <c r="F7" s="78"/>
      <c r="G7" s="79"/>
      <c r="H7" s="80"/>
    </row>
    <row r="8" spans="1:9" x14ac:dyDescent="0.2">
      <c r="A8" s="82" t="s">
        <v>35</v>
      </c>
      <c r="B8" s="83"/>
      <c r="C8" s="84"/>
      <c r="D8" s="85">
        <f>IF(C8=0,0,C8)</f>
        <v>0</v>
      </c>
      <c r="E8" s="75"/>
      <c r="F8" s="75"/>
      <c r="G8" s="86"/>
      <c r="H8" s="75"/>
    </row>
    <row r="9" spans="1:9" x14ac:dyDescent="0.2">
      <c r="A9" s="82" t="s">
        <v>14</v>
      </c>
      <c r="B9" s="84">
        <v>107</v>
      </c>
      <c r="C9" s="84">
        <v>2</v>
      </c>
      <c r="D9" s="85">
        <f>SUM(B9:C9)</f>
        <v>109</v>
      </c>
      <c r="E9" s="87"/>
      <c r="F9" s="87"/>
      <c r="G9" s="86"/>
      <c r="H9" s="75"/>
    </row>
    <row r="10" spans="1:9" x14ac:dyDescent="0.2">
      <c r="A10" s="82" t="s">
        <v>15</v>
      </c>
      <c r="B10" s="84">
        <v>2374</v>
      </c>
      <c r="C10" s="84">
        <v>29</v>
      </c>
      <c r="D10" s="85">
        <f>SUM(B10:C10)</f>
        <v>2403</v>
      </c>
      <c r="E10" s="88"/>
      <c r="F10" s="89"/>
      <c r="G10" s="86"/>
      <c r="H10" s="75"/>
    </row>
    <row r="11" spans="1:9" x14ac:dyDescent="0.2">
      <c r="A11" s="90" t="s">
        <v>6</v>
      </c>
      <c r="B11" s="91">
        <f>IF(B9+B10=0,0,B9+B10)</f>
        <v>2481</v>
      </c>
      <c r="C11" s="91">
        <f>IF(SUM(C8:C10)=0,0,SUM(C8:C10))</f>
        <v>31</v>
      </c>
      <c r="D11" s="91">
        <f>IF(SUM(D8:D10)=0,0,SUM(D8:D10))</f>
        <v>2512</v>
      </c>
      <c r="E11" s="88"/>
      <c r="F11" s="89"/>
      <c r="G11" s="86"/>
      <c r="H11" s="75"/>
    </row>
    <row r="12" spans="1:9" x14ac:dyDescent="0.2">
      <c r="A12" s="75"/>
      <c r="B12" s="92"/>
      <c r="C12" s="92"/>
      <c r="D12" s="92"/>
      <c r="E12" s="88"/>
      <c r="F12" s="89"/>
      <c r="G12" s="93"/>
      <c r="H12" s="75"/>
    </row>
    <row r="13" spans="1:9" ht="22.5" x14ac:dyDescent="0.2">
      <c r="A13" s="76" t="s">
        <v>39</v>
      </c>
      <c r="B13" s="76" t="s">
        <v>4</v>
      </c>
      <c r="C13" s="76" t="str">
        <f>C7</f>
        <v>Business</v>
      </c>
      <c r="D13" s="76" t="s">
        <v>32</v>
      </c>
      <c r="E13" s="94"/>
      <c r="F13" s="95"/>
      <c r="G13" s="93"/>
      <c r="H13" s="75"/>
    </row>
    <row r="14" spans="1:9" x14ac:dyDescent="0.2">
      <c r="A14" s="82" t="s">
        <v>35</v>
      </c>
      <c r="B14" s="83"/>
      <c r="C14" s="84"/>
      <c r="D14" s="85">
        <f>IF(C14=0,0,C14)</f>
        <v>0</v>
      </c>
      <c r="E14" s="75"/>
      <c r="F14" s="75"/>
      <c r="G14" s="93"/>
      <c r="H14" s="75"/>
    </row>
    <row r="15" spans="1:9" x14ac:dyDescent="0.2">
      <c r="A15" s="82" t="s">
        <v>14</v>
      </c>
      <c r="B15" s="84">
        <v>2</v>
      </c>
      <c r="C15" s="84">
        <v>0</v>
      </c>
      <c r="D15" s="85">
        <f>SUM(B15:C15)</f>
        <v>2</v>
      </c>
      <c r="E15" s="87"/>
      <c r="F15" s="87"/>
      <c r="G15" s="86"/>
      <c r="H15" s="75"/>
    </row>
    <row r="16" spans="1:9" x14ac:dyDescent="0.2">
      <c r="A16" s="82" t="s">
        <v>15</v>
      </c>
      <c r="B16" s="84">
        <v>413</v>
      </c>
      <c r="C16" s="84">
        <v>1</v>
      </c>
      <c r="D16" s="85">
        <f>SUM(B16:C16)</f>
        <v>414</v>
      </c>
      <c r="E16" s="88"/>
      <c r="F16" s="89"/>
      <c r="G16" s="86"/>
      <c r="H16" s="75"/>
    </row>
    <row r="17" spans="1:8" x14ac:dyDescent="0.2">
      <c r="A17" s="90" t="str">
        <f>A11</f>
        <v>Total</v>
      </c>
      <c r="B17" s="91">
        <f>IF(B15+B16=0,0,B15+B16)</f>
        <v>415</v>
      </c>
      <c r="C17" s="91">
        <f>IF(SUM(C14:C16)=0,0,SUM(C14:C16))</f>
        <v>1</v>
      </c>
      <c r="D17" s="91">
        <f>IF(SUM(D14:D16)=0,0,SUM(D14:D16))</f>
        <v>416</v>
      </c>
      <c r="E17" s="88"/>
      <c r="F17" s="89"/>
      <c r="G17" s="86"/>
      <c r="H17" s="75"/>
    </row>
    <row r="18" spans="1:8" x14ac:dyDescent="0.2">
      <c r="A18" s="75"/>
      <c r="B18" s="75"/>
      <c r="C18" s="75"/>
      <c r="D18" s="98"/>
      <c r="E18" s="88"/>
      <c r="F18" s="89"/>
      <c r="G18" s="93"/>
      <c r="H18" s="75"/>
    </row>
    <row r="19" spans="1:8" ht="22.5" x14ac:dyDescent="0.2">
      <c r="A19" s="76" t="s">
        <v>40</v>
      </c>
      <c r="B19" s="76" t="s">
        <v>4</v>
      </c>
      <c r="C19" s="76" t="str">
        <f>C7</f>
        <v>Business</v>
      </c>
      <c r="D19" s="76" t="s">
        <v>32</v>
      </c>
      <c r="E19" s="94"/>
      <c r="F19" s="95"/>
      <c r="G19" s="93"/>
      <c r="H19" s="75"/>
    </row>
    <row r="20" spans="1:8" x14ac:dyDescent="0.2">
      <c r="A20" s="82" t="s">
        <v>35</v>
      </c>
      <c r="B20" s="83"/>
      <c r="C20" s="96">
        <f t="shared" ref="C20:D21" si="0">IF(C8+C14=0,0,C8+C14)</f>
        <v>0</v>
      </c>
      <c r="D20" s="85"/>
      <c r="E20" s="93"/>
      <c r="F20" s="93"/>
      <c r="G20" s="93"/>
      <c r="H20" s="75"/>
    </row>
    <row r="21" spans="1:8" x14ac:dyDescent="0.2">
      <c r="A21" s="82" t="s">
        <v>14</v>
      </c>
      <c r="B21" s="96">
        <f>IF(B9+B15=0,0,B9+B15)</f>
        <v>109</v>
      </c>
      <c r="C21" s="96">
        <f>IF(C9+C15=0,0,C9+C15)</f>
        <v>2</v>
      </c>
      <c r="D21" s="85">
        <f t="shared" si="0"/>
        <v>111</v>
      </c>
      <c r="E21" s="86"/>
      <c r="F21" s="93"/>
      <c r="G21" s="93"/>
      <c r="H21" s="75"/>
    </row>
    <row r="22" spans="1:8" x14ac:dyDescent="0.2">
      <c r="A22" s="82" t="s">
        <v>15</v>
      </c>
      <c r="B22" s="96">
        <f>IF(B10+B16=0,0,B10+B16)</f>
        <v>2787</v>
      </c>
      <c r="C22" s="96">
        <f>IF(C10+C16=0,0,C10+C16)</f>
        <v>30</v>
      </c>
      <c r="D22" s="85">
        <f>IF(D10+D16=0,0,D10+D16)</f>
        <v>2817</v>
      </c>
      <c r="E22" s="75"/>
      <c r="F22" s="93"/>
      <c r="G22" s="93"/>
      <c r="H22" s="75"/>
    </row>
    <row r="23" spans="1:8" x14ac:dyDescent="0.2">
      <c r="A23" s="90" t="str">
        <f>A11</f>
        <v>Total</v>
      </c>
      <c r="B23" s="91">
        <f>IF(B21+B22=0,0,B21+B22)</f>
        <v>2896</v>
      </c>
      <c r="C23" s="91">
        <f>IF(SUM(C20:C22)=0,0,SUM(C20:C22))</f>
        <v>32</v>
      </c>
      <c r="D23" s="91">
        <f>SUM(D20:D22)</f>
        <v>2928</v>
      </c>
      <c r="E23" s="75"/>
      <c r="F23" s="93"/>
      <c r="G23" s="93"/>
      <c r="H23" s="75"/>
    </row>
    <row r="24" spans="1:8" x14ac:dyDescent="0.2">
      <c r="B24" s="75"/>
      <c r="C24" s="75"/>
      <c r="E24" s="75"/>
      <c r="F24" s="93"/>
      <c r="G24" s="93"/>
      <c r="H24" s="75"/>
    </row>
    <row r="25" spans="1:8" ht="22.5" x14ac:dyDescent="0.2">
      <c r="A25" s="76" t="s">
        <v>37</v>
      </c>
      <c r="B25" s="76" t="s">
        <v>4</v>
      </c>
      <c r="C25" s="76" t="s">
        <v>5</v>
      </c>
      <c r="D25" s="76" t="s">
        <v>32</v>
      </c>
    </row>
    <row r="26" spans="1:8" x14ac:dyDescent="0.2">
      <c r="A26" s="82" t="s">
        <v>35</v>
      </c>
      <c r="B26" s="83"/>
      <c r="C26" s="96">
        <f>IF(C14+C20=0,0,C14+C20)</f>
        <v>0</v>
      </c>
      <c r="D26" s="85">
        <f>IF(C26=0,0,C26)</f>
        <v>0</v>
      </c>
    </row>
    <row r="27" spans="1:8" x14ac:dyDescent="0.2">
      <c r="A27" s="82" t="s">
        <v>14</v>
      </c>
      <c r="B27" s="84">
        <v>163</v>
      </c>
      <c r="C27" s="84">
        <v>11</v>
      </c>
      <c r="D27" s="85">
        <f>SUM(B27:C27)</f>
        <v>174</v>
      </c>
    </row>
    <row r="28" spans="1:8" x14ac:dyDescent="0.2">
      <c r="A28" s="82" t="s">
        <v>15</v>
      </c>
      <c r="B28" s="84">
        <v>389</v>
      </c>
      <c r="C28" s="84">
        <v>44</v>
      </c>
      <c r="D28" s="85">
        <f>SUM(B28:C28)</f>
        <v>433</v>
      </c>
    </row>
    <row r="29" spans="1:8" x14ac:dyDescent="0.2">
      <c r="A29" s="90" t="str">
        <f>A23</f>
        <v>Total</v>
      </c>
      <c r="B29" s="109">
        <f>IF(B27+B28=0,0,B27+B28)</f>
        <v>552</v>
      </c>
      <c r="C29" s="91">
        <f>IF(SUM(C26:C28)=0,0,SUM(C26:C28))</f>
        <v>55</v>
      </c>
      <c r="D29" s="91">
        <f>IF(SUM(D26:D28)=0,0,SUM(D26:D28))</f>
        <v>607</v>
      </c>
    </row>
    <row r="31" spans="1:8" x14ac:dyDescent="0.2">
      <c r="A31" s="76" t="s">
        <v>38</v>
      </c>
      <c r="B31" s="76" t="s">
        <v>4</v>
      </c>
      <c r="C31" s="76" t="str">
        <f>C19</f>
        <v>Business</v>
      </c>
      <c r="D31" s="76" t="s">
        <v>32</v>
      </c>
    </row>
    <row r="32" spans="1:8" x14ac:dyDescent="0.2">
      <c r="A32" s="82" t="s">
        <v>35</v>
      </c>
      <c r="B32" s="83">
        <f>B20+B26</f>
        <v>0</v>
      </c>
      <c r="C32" s="96">
        <f t="shared" ref="C32:D34" si="1">C20+C26</f>
        <v>0</v>
      </c>
      <c r="D32" s="85">
        <f t="shared" si="1"/>
        <v>0</v>
      </c>
    </row>
    <row r="33" spans="1:7" x14ac:dyDescent="0.2">
      <c r="A33" s="82" t="s">
        <v>14</v>
      </c>
      <c r="B33" s="96">
        <f>B21+B27</f>
        <v>272</v>
      </c>
      <c r="C33" s="96">
        <f t="shared" si="1"/>
        <v>13</v>
      </c>
      <c r="D33" s="85">
        <f t="shared" si="1"/>
        <v>285</v>
      </c>
      <c r="E33" s="75"/>
      <c r="F33" s="75"/>
      <c r="G33" s="75"/>
    </row>
    <row r="34" spans="1:7" x14ac:dyDescent="0.2">
      <c r="A34" s="82" t="s">
        <v>15</v>
      </c>
      <c r="B34" s="96">
        <f>B22+B28</f>
        <v>3176</v>
      </c>
      <c r="C34" s="96">
        <f t="shared" si="1"/>
        <v>74</v>
      </c>
      <c r="D34" s="85">
        <f t="shared" si="1"/>
        <v>3250</v>
      </c>
    </row>
    <row r="35" spans="1:7" x14ac:dyDescent="0.2">
      <c r="A35" s="90" t="str">
        <f>A29</f>
        <v>Total</v>
      </c>
      <c r="B35" s="91">
        <f>IF(B33+B34=0,0,B33+B34)</f>
        <v>3448</v>
      </c>
      <c r="C35" s="91">
        <f>IF(SUM(C32:C34)=0,0,SUM(C32:C34))</f>
        <v>87</v>
      </c>
      <c r="D35" s="91">
        <f>SUM(D32:D34)</f>
        <v>3535</v>
      </c>
    </row>
    <row r="37" spans="1:7" x14ac:dyDescent="0.2">
      <c r="A37" s="97" t="str">
        <f>"In summary, "&amp;TEXT($D$23,"0,000")&amp; " of UI's customers are participating in the CTCleanEnergyOptions Program"</f>
        <v>In summary, 2,928 of UI's customers are participating in the CTCleanEnergyOptions Program</v>
      </c>
    </row>
    <row r="38" spans="1:7" x14ac:dyDescent="0.2">
      <c r="A38" s="97" t="str">
        <f>"In summary, "&amp;TEXT($D$29,"000")&amp; " of UI's customers are participating in RECs only with Sterling Planet"</f>
        <v>In summary, 607 of UI's customers are participating in RECs only with Sterling Planet</v>
      </c>
    </row>
    <row r="39" spans="1:7" x14ac:dyDescent="0.2">
      <c r="A39" s="97" t="str">
        <f>"In summary, "&amp;TEXT($D$35,"0,000")&amp; " of UI's customers are participating in all REC programs"</f>
        <v>In summary, 3,535 of UI's customers are participating in all REC programs</v>
      </c>
    </row>
    <row r="41" spans="1:7" x14ac:dyDescent="0.2">
      <c r="A41" s="98" t="s">
        <v>20</v>
      </c>
    </row>
    <row r="42" spans="1:7" x14ac:dyDescent="0.2">
      <c r="A42" s="75" t="s">
        <v>16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0.5" bottom="0.25" header="0.5" footer="0"/>
  <pageSetup orientation="portrait" r:id="rId1"/>
  <headerFooter alignWithMargins="0">
    <oddHeader xml:space="preserve">&amp;RPage 2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Paul Wehner</cp:lastModifiedBy>
  <cp:lastPrinted>2018-02-15T14:56:05Z</cp:lastPrinted>
  <dcterms:created xsi:type="dcterms:W3CDTF">2009-03-17T13:14:28Z</dcterms:created>
  <dcterms:modified xsi:type="dcterms:W3CDTF">2021-04-09T14:26:19Z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  <property fmtid="{D5CDD505-2E9C-101B-9397-08002B2CF9AE}" pid="3" name="_AdHocReviewCycleID">
    <vt:i4>341336444</vt:i4>
  </property>
  <property fmtid="{D5CDD505-2E9C-101B-9397-08002B2CF9AE}" pid="4" name="_NewReviewCycle">
    <vt:lpwstr/>
  </property>
  <property fmtid="{D5CDD505-2E9C-101B-9397-08002B2CF9AE}" pid="5" name="_EmailSubject">
    <vt:lpwstr>Please file under 06-10-22</vt:lpwstr>
  </property>
  <property fmtid="{D5CDD505-2E9C-101B-9397-08002B2CF9AE}" pid="6" name="_AuthorEmail">
    <vt:lpwstr>Arthur.Forman@uinet.com</vt:lpwstr>
  </property>
  <property fmtid="{D5CDD505-2E9C-101B-9397-08002B2CF9AE}" pid="7" name="_AuthorEmailDisplayName">
    <vt:lpwstr>ARTHUR FORMAN</vt:lpwstr>
  </property>
  <property fmtid="{D5CDD505-2E9C-101B-9397-08002B2CF9AE}" pid="8" name="MSIP_Label_624b1752-a977-4927-b9e6-e48a43684aee_Enabled">
    <vt:lpwstr>true</vt:lpwstr>
  </property>
  <property fmtid="{D5CDD505-2E9C-101B-9397-08002B2CF9AE}" pid="9" name="MSIP_Label_624b1752-a977-4927-b9e6-e48a43684aee_SetDate">
    <vt:lpwstr>2020-09-15T16:57:31Z</vt:lpwstr>
  </property>
  <property fmtid="{D5CDD505-2E9C-101B-9397-08002B2CF9AE}" pid="10" name="MSIP_Label_624b1752-a977-4927-b9e6-e48a43684aee_Method">
    <vt:lpwstr>Privileged</vt:lpwstr>
  </property>
  <property fmtid="{D5CDD505-2E9C-101B-9397-08002B2CF9AE}" pid="11" name="MSIP_Label_624b1752-a977-4927-b9e6-e48a43684aee_Name">
    <vt:lpwstr>Public</vt:lpwstr>
  </property>
  <property fmtid="{D5CDD505-2E9C-101B-9397-08002B2CF9AE}" pid="12" name="MSIP_Label_624b1752-a977-4927-b9e6-e48a43684aee_SiteId">
    <vt:lpwstr>031a09bc-a2bf-44df-888e-4e09355b7a24</vt:lpwstr>
  </property>
  <property fmtid="{D5CDD505-2E9C-101B-9397-08002B2CF9AE}" pid="13" name="MSIP_Label_624b1752-a977-4927-b9e6-e48a43684aee_ActionId">
    <vt:lpwstr>613524fd-9e19-4128-bb92-00003958b920</vt:lpwstr>
  </property>
  <property fmtid="{D5CDD505-2E9C-101B-9397-08002B2CF9AE}" pid="14" name="_PreviousAdHocReviewCycleID">
    <vt:i4>1986306498</vt:i4>
  </property>
  <property fmtid="{D5CDD505-2E9C-101B-9397-08002B2CF9AE}" pid="15" name="_ReviewingToolsShownOnce">
    <vt:lpwstr/>
  </property>
</Properties>
</file>