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6\"/>
    </mc:Choice>
  </mc:AlternateContent>
  <xr:revisionPtr revIDLastSave="0" documentId="10_ncr:100000_{A50EA36B-144F-41EC-B253-8A55C8CFB10F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F11" i="7"/>
  <c r="D12" i="7"/>
  <c r="D11" i="7"/>
  <c r="B12" i="7"/>
  <c r="B11" i="7"/>
  <c r="F44" i="6" l="1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<sst xmlns="http://schemas.openxmlformats.org/spreadsheetml/2006/main" count="158" uniqueCount="92">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</sst>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6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6_June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44529.853999999934</v>
          </cell>
        </row>
        <row r="25">
          <cell r="H25">
            <v>129829.75499999983</v>
          </cell>
        </row>
        <row r="26">
          <cell r="H26">
            <v>75493.777000000002</v>
          </cell>
        </row>
        <row r="29">
          <cell r="H29">
            <v>148883.52100000001</v>
          </cell>
        </row>
        <row r="30">
          <cell r="H30">
            <v>59753.27199999999</v>
          </cell>
        </row>
        <row r="31">
          <cell r="H31">
            <v>7610.5640000000003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65224</v>
          </cell>
        </row>
        <row r="19">
          <cell r="B19">
            <v>18755</v>
          </cell>
        </row>
        <row r="20">
          <cell r="B20">
            <v>183</v>
          </cell>
        </row>
        <row r="22">
          <cell r="B22">
            <v>240755</v>
          </cell>
        </row>
        <row r="23">
          <cell r="B23">
            <v>19568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F11" sqref="F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44529.853999999934</v>
      </c>
      <c r="C11" s="40">
        <f>IF(B11=0,0,B11/$B$13)</f>
        <v>0.23023151320326191</v>
      </c>
      <c r="D11" s="68">
        <f>[1]Check!$H$25</f>
        <v>129829.75499999983</v>
      </c>
      <c r="E11" s="40">
        <f>IF(D11=0,0,D11/$D$13)</f>
        <v>0.68481739665439534</v>
      </c>
      <c r="F11" s="68">
        <f>[1]Check!$H$26</f>
        <v>75493.777000000002</v>
      </c>
      <c r="G11" s="40">
        <f>IF(F11=0,0,F11/$F$13)</f>
        <v>0.9084215829351201</v>
      </c>
      <c r="H11" s="41">
        <f>IF(B11+D11+F11=0,0,B11+D11+F11)</f>
        <v>249853.38599999977</v>
      </c>
      <c r="I11" s="40">
        <f>IF(H11=0,0,H11/$H$13)</f>
        <v>0.53605017746131312</v>
      </c>
    </row>
    <row r="12" spans="1:15" ht="18" customHeight="1" x14ac:dyDescent="0.2">
      <c r="A12" s="39" t="s">
        <v>11</v>
      </c>
      <c r="B12" s="68">
        <f>[1]Check!$H$29</f>
        <v>148883.52100000001</v>
      </c>
      <c r="C12" s="40">
        <f>IF(B12=0,0,B12/$B$13)</f>
        <v>0.76976848679673804</v>
      </c>
      <c r="D12" s="68">
        <f>[1]Check!$H$30</f>
        <v>59753.27199999999</v>
      </c>
      <c r="E12" s="40">
        <f>IF(D12=0,0,D12/$D$13)</f>
        <v>0.31518260334560461</v>
      </c>
      <c r="F12" s="68">
        <f>[1]Check!$H$31</f>
        <v>7610.5640000000003</v>
      </c>
      <c r="G12" s="40">
        <f>IF(F12=0,0,F12/$F$13)</f>
        <v>9.157841706487993E-2</v>
      </c>
      <c r="H12" s="102">
        <f>IF(B12+D12+F12=0,0,B12+D12+F12)</f>
        <v>216247.35700000002</v>
      </c>
      <c r="I12" s="40">
        <f>IF(H12=0,0,H12/$H$13)</f>
        <v>0.46394982253868694</v>
      </c>
    </row>
    <row r="13" spans="1:15" ht="18" customHeight="1" x14ac:dyDescent="0.2">
      <c r="A13" s="107" t="s">
        <v>6</v>
      </c>
      <c r="B13" s="42">
        <f>SUM(B11:B12)</f>
        <v>193413.37499999994</v>
      </c>
      <c r="C13" s="43"/>
      <c r="D13" s="42">
        <f>SUM(D11:D12)</f>
        <v>189583.02699999983</v>
      </c>
      <c r="E13" s="43"/>
      <c r="F13" s="42">
        <f>SUM(F11:F12)</f>
        <v>83104.341</v>
      </c>
      <c r="G13" s="43"/>
      <c r="H13" s="42">
        <f>IF(H11+H12=0,0,H11+H12)</f>
        <v>466100.74299999978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249,853 MWh, or 53.6%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216,247 MHh, or 46.4%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65224</v>
      </c>
      <c r="C20" s="40">
        <f>IF(B20=0,0,B20/$B$22)</f>
        <v>0.21316495576493813</v>
      </c>
      <c r="D20" s="68">
        <f>[2]Summary!$B$19</f>
        <v>18755</v>
      </c>
      <c r="E20" s="53">
        <f>IF(D20=0,0,D20/$D$22)</f>
        <v>0.48939279283980897</v>
      </c>
      <c r="F20" s="68">
        <f>[2]Summary!$B$20</f>
        <v>183</v>
      </c>
      <c r="G20" s="40">
        <f>IF(F20=0,0,F20/$F$22)</f>
        <v>0.88405797101449279</v>
      </c>
      <c r="H20" s="41">
        <f>IF(B20+D20+F20=0,0,B20+D20+F20)</f>
        <v>84162</v>
      </c>
      <c r="I20" s="40">
        <f>IF(H20=0,0,H20/$H$22)</f>
        <v>0.24429550461671537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240755</v>
      </c>
      <c r="C21" s="40">
        <f>IF(B21=0,0,B21/$B$22)</f>
        <v>0.7868350442350619</v>
      </c>
      <c r="D21" s="69">
        <f>[2]Summary!$B$23</f>
        <v>19568</v>
      </c>
      <c r="E21" s="53">
        <f>IF(D21=0,0,D21/$D$22)</f>
        <v>0.51060720716019103</v>
      </c>
      <c r="F21" s="69">
        <f>[2]Summary!$B$24</f>
        <v>24</v>
      </c>
      <c r="G21" s="40">
        <f>IF(F21=0,0,F21/$F$22)</f>
        <v>0.11594202898550725</v>
      </c>
      <c r="H21" s="69">
        <f>IF(B21+D21+F21=0,0,B21+D21+F21)</f>
        <v>260347</v>
      </c>
      <c r="I21" s="40">
        <f>IF(H21=0,0,H21/$H$22)</f>
        <v>0.75570449538328466</v>
      </c>
    </row>
    <row r="22" spans="1:17" ht="18" customHeight="1" x14ac:dyDescent="0.2">
      <c r="A22" s="39" t="str">
        <f>A13</f>
        <v>Total</v>
      </c>
      <c r="B22" s="42">
        <f>SUM(B20:B21)</f>
        <v>305979</v>
      </c>
      <c r="C22" s="55"/>
      <c r="D22" s="42">
        <f>SUM(D20:D21)</f>
        <v>38323</v>
      </c>
      <c r="E22" s="43"/>
      <c r="F22" s="42">
        <f>SUM(F20:F21)</f>
        <v>207</v>
      </c>
      <c r="G22" s="43"/>
      <c r="H22" s="42">
        <f>IF(H20+H21=0,0,H20+H21)</f>
        <v>344509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84,162 of UI's total customers, or 24.4%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260,347 or 75.6%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topLeftCell="A16" zoomScaleNormal="100" workbookViewId="0">
      <selection activeCell="F9" sqref="F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June 30,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4429</v>
      </c>
      <c r="D9" s="113">
        <v>623</v>
      </c>
      <c r="E9" s="114">
        <v>5052</v>
      </c>
      <c r="F9" s="21">
        <f t="shared" ref="F9:F44" si="0">IF(E9=0,"",E9/$E$45)</f>
        <v>5.9779907703230384E-2</v>
      </c>
    </row>
    <row r="10" spans="1:11" ht="14.25" customHeight="1" x14ac:dyDescent="0.2">
      <c r="A10" s="105">
        <v>2</v>
      </c>
      <c r="B10" t="s">
        <v>58</v>
      </c>
      <c r="C10" s="115">
        <v>29</v>
      </c>
      <c r="D10" s="111">
        <v>2823</v>
      </c>
      <c r="E10" s="116">
        <v>2852</v>
      </c>
      <c r="F10" s="21">
        <f t="shared" si="0"/>
        <v>3.3747485504674005E-2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188</v>
      </c>
      <c r="E11" s="116">
        <v>203</v>
      </c>
      <c r="F11" s="21">
        <f t="shared" si="0"/>
        <v>2.4020825937758846E-3</v>
      </c>
    </row>
    <row r="12" spans="1:11" ht="14.25" customHeight="1" x14ac:dyDescent="0.2">
      <c r="A12" s="105">
        <v>4</v>
      </c>
      <c r="B12" t="s">
        <v>60</v>
      </c>
      <c r="C12" s="115">
        <v>368</v>
      </c>
      <c r="D12" s="111">
        <v>8</v>
      </c>
      <c r="E12" s="116">
        <v>376</v>
      </c>
      <c r="F12" s="21">
        <f t="shared" si="0"/>
        <v>4.4491776121169096E-3</v>
      </c>
    </row>
    <row r="13" spans="1:11" ht="14.25" customHeight="1" x14ac:dyDescent="0.2">
      <c r="A13" s="105">
        <v>5</v>
      </c>
      <c r="B13" t="s">
        <v>61</v>
      </c>
      <c r="C13" s="115">
        <v>5082</v>
      </c>
      <c r="D13" s="111">
        <v>206</v>
      </c>
      <c r="E13" s="116">
        <v>5288</v>
      </c>
      <c r="F13" s="21">
        <f t="shared" si="0"/>
        <v>6.2572476629984622E-2</v>
      </c>
    </row>
    <row r="14" spans="1:11" ht="14.25" customHeight="1" x14ac:dyDescent="0.2">
      <c r="A14" s="105">
        <v>6</v>
      </c>
      <c r="B14" t="s">
        <v>62</v>
      </c>
      <c r="C14" s="115">
        <v>329</v>
      </c>
      <c r="D14" s="111">
        <v>63</v>
      </c>
      <c r="E14" s="116">
        <v>392</v>
      </c>
      <c r="F14" s="21">
        <f t="shared" si="0"/>
        <v>4.6385043190155014E-3</v>
      </c>
    </row>
    <row r="15" spans="1:11" ht="14.25" customHeight="1" x14ac:dyDescent="0.2">
      <c r="A15" s="105">
        <v>7</v>
      </c>
      <c r="B15" t="s">
        <v>63</v>
      </c>
      <c r="C15" s="115">
        <v>826</v>
      </c>
      <c r="D15" s="111">
        <v>4777</v>
      </c>
      <c r="E15" s="116">
        <v>5603</v>
      </c>
      <c r="F15" s="21">
        <f t="shared" si="0"/>
        <v>6.6299846172050647E-2</v>
      </c>
    </row>
    <row r="16" spans="1:11" ht="14.25" customHeight="1" x14ac:dyDescent="0.2">
      <c r="A16" s="105">
        <v>8</v>
      </c>
      <c r="B16" t="s">
        <v>64</v>
      </c>
      <c r="C16" s="115">
        <v>9988</v>
      </c>
      <c r="D16" s="111">
        <v>1444</v>
      </c>
      <c r="E16" s="116">
        <v>11432</v>
      </c>
      <c r="F16" s="21">
        <f t="shared" si="0"/>
        <v>0.1352739320790439</v>
      </c>
    </row>
    <row r="17" spans="1:6" ht="14.25" customHeight="1" x14ac:dyDescent="0.2">
      <c r="A17" s="105">
        <v>9</v>
      </c>
      <c r="B17" t="s">
        <v>56</v>
      </c>
      <c r="C17" s="115">
        <v>201</v>
      </c>
      <c r="D17" s="111">
        <v>1961</v>
      </c>
      <c r="E17" s="116">
        <v>2162</v>
      </c>
      <c r="F17" s="21">
        <f t="shared" si="0"/>
        <v>2.558277126967223E-2</v>
      </c>
    </row>
    <row r="18" spans="1:6" ht="14.25" customHeight="1" x14ac:dyDescent="0.2">
      <c r="A18" s="105">
        <v>10</v>
      </c>
      <c r="B18" t="s">
        <v>65</v>
      </c>
      <c r="C18" s="115">
        <v>4518</v>
      </c>
      <c r="D18" s="111">
        <v>1346</v>
      </c>
      <c r="E18" s="116">
        <v>5864</v>
      </c>
      <c r="F18" s="21">
        <f t="shared" si="0"/>
        <v>6.9388238078333928E-2</v>
      </c>
    </row>
    <row r="19" spans="1:6" ht="14.25" customHeight="1" x14ac:dyDescent="0.2">
      <c r="A19" s="105">
        <v>11</v>
      </c>
      <c r="B19" t="s">
        <v>66</v>
      </c>
      <c r="C19" s="115">
        <v>1811</v>
      </c>
      <c r="D19" s="111">
        <v>287</v>
      </c>
      <c r="E19" s="116">
        <v>2098</v>
      </c>
      <c r="F19" s="21">
        <f t="shared" si="0"/>
        <v>2.4825464442077859E-2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288</v>
      </c>
      <c r="E20" s="116">
        <v>784</v>
      </c>
      <c r="F20" s="21">
        <f t="shared" si="0"/>
        <v>9.2770086380310028E-3</v>
      </c>
    </row>
    <row r="21" spans="1:6" ht="14.25" customHeight="1" x14ac:dyDescent="0.2">
      <c r="A21" s="105">
        <v>13</v>
      </c>
      <c r="B21" t="s">
        <v>67</v>
      </c>
      <c r="C21" s="115">
        <v>14</v>
      </c>
      <c r="D21" s="111">
        <v>222</v>
      </c>
      <c r="E21" s="116">
        <v>236</v>
      </c>
      <c r="F21" s="21">
        <f t="shared" si="0"/>
        <v>2.7925689267542303E-3</v>
      </c>
    </row>
    <row r="22" spans="1:6" ht="14.25" customHeight="1" x14ac:dyDescent="0.2">
      <c r="A22" s="105">
        <v>14</v>
      </c>
      <c r="B22" t="s">
        <v>68</v>
      </c>
      <c r="C22" s="115">
        <v>311</v>
      </c>
      <c r="D22" s="111">
        <v>75</v>
      </c>
      <c r="E22" s="116">
        <v>386</v>
      </c>
      <c r="F22" s="21">
        <f t="shared" si="0"/>
        <v>4.5675068039285295E-3</v>
      </c>
    </row>
    <row r="23" spans="1:6" ht="14.25" customHeight="1" x14ac:dyDescent="0.2">
      <c r="A23" s="105">
        <v>15</v>
      </c>
      <c r="B23" t="s">
        <v>69</v>
      </c>
      <c r="C23" s="115">
        <v>27</v>
      </c>
      <c r="D23" s="111"/>
      <c r="E23" s="116">
        <v>27</v>
      </c>
      <c r="F23" s="21">
        <f t="shared" si="0"/>
        <v>3.1948881789137381E-4</v>
      </c>
    </row>
    <row r="24" spans="1:6" ht="14.25" customHeight="1" x14ac:dyDescent="0.2">
      <c r="A24" s="105">
        <v>16</v>
      </c>
      <c r="B24" t="s">
        <v>70</v>
      </c>
      <c r="C24" s="115">
        <v>788</v>
      </c>
      <c r="D24" s="111">
        <v>1201</v>
      </c>
      <c r="E24" s="116">
        <v>1989</v>
      </c>
      <c r="F24" s="21">
        <f t="shared" si="0"/>
        <v>2.3535676251331204E-2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124</v>
      </c>
      <c r="E25" s="116">
        <v>214</v>
      </c>
      <c r="F25" s="21">
        <f t="shared" si="0"/>
        <v>2.5322447047686665E-3</v>
      </c>
    </row>
    <row r="26" spans="1:6" ht="14.25" customHeight="1" x14ac:dyDescent="0.2">
      <c r="A26" s="105">
        <v>18</v>
      </c>
      <c r="B26" t="s">
        <v>12</v>
      </c>
      <c r="C26" s="115">
        <v>5529</v>
      </c>
      <c r="D26" s="111">
        <v>682</v>
      </c>
      <c r="E26" s="116">
        <v>6211</v>
      </c>
      <c r="F26" s="21">
        <f t="shared" si="0"/>
        <v>7.3494261034197136E-2</v>
      </c>
    </row>
    <row r="27" spans="1:6" ht="14.25" customHeight="1" x14ac:dyDescent="0.2">
      <c r="A27" s="105">
        <v>19</v>
      </c>
      <c r="B27" t="s">
        <v>72</v>
      </c>
      <c r="C27" s="115">
        <v>372</v>
      </c>
      <c r="D27" s="111">
        <v>47</v>
      </c>
      <c r="E27" s="116">
        <v>419</v>
      </c>
      <c r="F27" s="21">
        <f t="shared" si="0"/>
        <v>4.9579931369068747E-3</v>
      </c>
    </row>
    <row r="28" spans="1:6" ht="14.25" customHeight="1" x14ac:dyDescent="0.2">
      <c r="A28" s="105">
        <v>20</v>
      </c>
      <c r="B28" t="s">
        <v>73</v>
      </c>
      <c r="C28" s="115">
        <v>165</v>
      </c>
      <c r="D28" s="111">
        <v>144</v>
      </c>
      <c r="E28" s="116">
        <v>309</v>
      </c>
      <c r="F28" s="21">
        <f t="shared" si="0"/>
        <v>3.6563720269790559E-3</v>
      </c>
    </row>
    <row r="29" spans="1:6" ht="14.25" customHeight="1" x14ac:dyDescent="0.2">
      <c r="A29" s="105">
        <v>21</v>
      </c>
      <c r="B29" t="s">
        <v>74</v>
      </c>
      <c r="C29" s="115">
        <v>62</v>
      </c>
      <c r="D29" s="111">
        <v>355</v>
      </c>
      <c r="E29" s="116">
        <v>417</v>
      </c>
      <c r="F29" s="21">
        <f t="shared" si="0"/>
        <v>4.9343272985445507E-3</v>
      </c>
    </row>
    <row r="30" spans="1:6" ht="14.25" customHeight="1" x14ac:dyDescent="0.2">
      <c r="A30" s="105">
        <v>22</v>
      </c>
      <c r="B30" t="s">
        <v>75</v>
      </c>
      <c r="C30" s="115">
        <v>4874</v>
      </c>
      <c r="D30" s="111">
        <v>148</v>
      </c>
      <c r="E30" s="116">
        <v>5022</v>
      </c>
      <c r="F30" s="21">
        <f t="shared" si="0"/>
        <v>5.942492012779553E-2</v>
      </c>
    </row>
    <row r="31" spans="1:6" ht="14.25" customHeight="1" x14ac:dyDescent="0.2">
      <c r="A31" s="105">
        <v>23</v>
      </c>
      <c r="B31" t="s">
        <v>76</v>
      </c>
      <c r="C31" s="115">
        <v>704</v>
      </c>
      <c r="D31" s="111">
        <v>108</v>
      </c>
      <c r="E31" s="116">
        <v>812</v>
      </c>
      <c r="F31" s="21">
        <f t="shared" si="0"/>
        <v>9.6083303751035385E-3</v>
      </c>
    </row>
    <row r="32" spans="1:6" ht="14.25" customHeight="1" x14ac:dyDescent="0.2">
      <c r="A32" s="105">
        <v>24</v>
      </c>
      <c r="B32" t="s">
        <v>77</v>
      </c>
      <c r="C32" s="115">
        <v>2958</v>
      </c>
      <c r="D32" s="111">
        <v>697</v>
      </c>
      <c r="E32" s="116">
        <v>3655</v>
      </c>
      <c r="F32" s="21">
        <f t="shared" si="0"/>
        <v>4.3249319607147084E-2</v>
      </c>
    </row>
    <row r="33" spans="1:10" ht="14.25" customHeight="1" x14ac:dyDescent="0.2">
      <c r="A33" s="105">
        <v>25</v>
      </c>
      <c r="B33" t="s">
        <v>78</v>
      </c>
      <c r="C33" s="115">
        <v>50</v>
      </c>
      <c r="D33" s="111">
        <v>49</v>
      </c>
      <c r="E33" s="116">
        <v>99</v>
      </c>
      <c r="F33" s="21">
        <f t="shared" si="0"/>
        <v>1.1714589989350373E-3</v>
      </c>
    </row>
    <row r="34" spans="1:10" ht="14.25" customHeight="1" x14ac:dyDescent="0.2">
      <c r="A34" s="105">
        <v>26</v>
      </c>
      <c r="B34" t="s">
        <v>79</v>
      </c>
      <c r="C34" s="115">
        <v>4267</v>
      </c>
      <c r="D34" s="111">
        <v>289</v>
      </c>
      <c r="E34" s="116">
        <v>4556</v>
      </c>
      <c r="F34" s="21">
        <f t="shared" si="0"/>
        <v>5.3910779789374037E-2</v>
      </c>
    </row>
    <row r="35" spans="1:10" ht="14.25" customHeight="1" x14ac:dyDescent="0.2">
      <c r="A35" s="105">
        <v>27</v>
      </c>
      <c r="B35" t="s">
        <v>80</v>
      </c>
      <c r="C35" s="115">
        <v>662</v>
      </c>
      <c r="D35" s="111">
        <v>343</v>
      </c>
      <c r="E35" s="116">
        <v>1005</v>
      </c>
      <c r="F35" s="21">
        <f t="shared" si="0"/>
        <v>1.1892083777067802E-2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1.3016211099278193E-4</v>
      </c>
    </row>
    <row r="37" spans="1:10" ht="14.25" customHeight="1" x14ac:dyDescent="0.2">
      <c r="A37" s="105">
        <v>29</v>
      </c>
      <c r="B37" t="s">
        <v>54</v>
      </c>
      <c r="C37" s="115">
        <v>135</v>
      </c>
      <c r="D37" s="111">
        <v>66</v>
      </c>
      <c r="E37" s="116">
        <v>201</v>
      </c>
      <c r="F37" s="21">
        <f t="shared" si="0"/>
        <v>2.3784167554135606E-3</v>
      </c>
    </row>
    <row r="38" spans="1:10" ht="14.25" customHeight="1" x14ac:dyDescent="0.2">
      <c r="A38" s="105">
        <v>30</v>
      </c>
      <c r="B38" t="s">
        <v>82</v>
      </c>
      <c r="C38" s="115">
        <v>10432</v>
      </c>
      <c r="D38" s="111">
        <v>274</v>
      </c>
      <c r="E38" s="116">
        <v>10706</v>
      </c>
      <c r="F38" s="21">
        <f t="shared" si="0"/>
        <v>0.12668323275352028</v>
      </c>
    </row>
    <row r="39" spans="1:10" ht="14.25" customHeight="1" x14ac:dyDescent="0.2">
      <c r="A39" s="105">
        <v>31</v>
      </c>
      <c r="B39" t="s">
        <v>83</v>
      </c>
      <c r="C39" s="115">
        <v>3400</v>
      </c>
      <c r="D39" s="111">
        <v>272</v>
      </c>
      <c r="E39" s="116">
        <v>3672</v>
      </c>
      <c r="F39" s="21">
        <f t="shared" si="0"/>
        <v>4.3450479233226834E-2</v>
      </c>
    </row>
    <row r="40" spans="1:10" ht="14.25" customHeight="1" x14ac:dyDescent="0.2">
      <c r="A40" s="105">
        <v>32</v>
      </c>
      <c r="B40" t="s">
        <v>84</v>
      </c>
      <c r="C40" s="115">
        <v>305</v>
      </c>
      <c r="D40" s="111">
        <v>63</v>
      </c>
      <c r="E40" s="116">
        <v>368</v>
      </c>
      <c r="F40" s="21">
        <f t="shared" si="0"/>
        <v>4.3545142586676137E-3</v>
      </c>
    </row>
    <row r="41" spans="1:10" ht="14.25" customHeight="1" x14ac:dyDescent="0.2">
      <c r="A41" s="105">
        <v>33</v>
      </c>
      <c r="B41" t="s">
        <v>86</v>
      </c>
      <c r="C41" s="115">
        <v>29</v>
      </c>
      <c r="D41" s="111">
        <v>16</v>
      </c>
      <c r="E41" s="116">
        <v>45</v>
      </c>
      <c r="F41" s="21">
        <f t="shared" si="0"/>
        <v>5.3248136315228972E-4</v>
      </c>
    </row>
    <row r="42" spans="1:10" ht="14.25" customHeight="1" x14ac:dyDescent="0.2">
      <c r="A42" s="105">
        <v>34</v>
      </c>
      <c r="B42" t="s">
        <v>85</v>
      </c>
      <c r="C42" s="115">
        <v>1582</v>
      </c>
      <c r="D42" s="111">
        <v>308</v>
      </c>
      <c r="E42" s="116">
        <v>1890</v>
      </c>
      <c r="F42" s="21">
        <f t="shared" si="0"/>
        <v>2.2364217252396165E-2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135</v>
      </c>
      <c r="E43" s="116">
        <v>135</v>
      </c>
      <c r="F43" s="21">
        <f t="shared" si="0"/>
        <v>1.5974440894568689E-3</v>
      </c>
    </row>
    <row r="44" spans="1:10" ht="14.25" customHeight="1" x14ac:dyDescent="0.2">
      <c r="A44" s="105">
        <v>36</v>
      </c>
      <c r="B44" t="s">
        <v>90</v>
      </c>
      <c r="C44" s="115">
        <v>19</v>
      </c>
      <c r="D44" s="111"/>
      <c r="E44" s="116">
        <v>19</v>
      </c>
      <c r="F44" s="21">
        <f t="shared" si="0"/>
        <v>2.2482546444207787E-4</v>
      </c>
    </row>
    <row r="45" spans="1:10" x14ac:dyDescent="0.2">
      <c r="A45" s="105"/>
      <c r="B45" s="122" t="s">
        <v>57</v>
      </c>
      <c r="C45" s="123">
        <v>64867</v>
      </c>
      <c r="D45" s="117">
        <v>19643</v>
      </c>
      <c r="E45" s="118">
        <v>84510</v>
      </c>
      <c r="F45" s="21">
        <f>SUM(F9:F44)</f>
        <v>1.0000000000000002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4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June 30,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2854</v>
      </c>
      <c r="C13" s="43">
        <f>IF(B13=0,0,B13/'Summary Load Customers '!$B$22)</f>
        <v>9.3274375038809847E-3</v>
      </c>
      <c r="D13" s="42">
        <f>REC_programs_detail!C23</f>
        <v>31</v>
      </c>
      <c r="E13" s="43">
        <f>IF(D13=0,0,D13/('Summary Load Customers '!$D$22+'Summary Load Customers '!$F$22))</f>
        <v>8.045678691928368E-4</v>
      </c>
      <c r="F13" s="42">
        <f>B13+D13</f>
        <v>2885</v>
      </c>
      <c r="G13" s="43">
        <f>IF(F13=0,0,F13/'Summary Load Customers '!$H$22)</f>
        <v>8.3742369575250577E-3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2,885 of UI's customers, or 0.8%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546</v>
      </c>
      <c r="C20" s="43">
        <f>IF(B20=0,0,B20/'Summary Load Customers '!$B$22)</f>
        <v>1.7844361867971332E-3</v>
      </c>
      <c r="D20" s="42">
        <f>REC_programs_detail!C29</f>
        <v>55</v>
      </c>
      <c r="E20" s="43">
        <f>IF(D20=0,0,D20/('Summary Load Customers '!$D$22+'Summary Load Customers '!$F$22))</f>
        <v>1.4274591227614846E-3</v>
      </c>
      <c r="F20" s="42">
        <f>B20+D20</f>
        <v>601</v>
      </c>
      <c r="G20" s="43">
        <f>IF(F20=0,0,F20/'Summary Load Customers '!$H$22)</f>
        <v>1.7445117544098994E-3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0,601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3400</v>
      </c>
      <c r="C27" s="43">
        <f>IF(B27=0,0,B27/'Summary Load Customers '!$B$22)</f>
        <v>1.1111873690678118E-2</v>
      </c>
      <c r="D27" s="42">
        <f>D13+D20</f>
        <v>86</v>
      </c>
      <c r="E27" s="43">
        <f>IF(D27=0,0,D27/('Summary Load Customers '!$D$22+'Summary Load Customers '!$F$22))</f>
        <v>2.2320269919543214E-3</v>
      </c>
      <c r="F27" s="42">
        <f>B27+D27</f>
        <v>3486</v>
      </c>
      <c r="G27" s="43">
        <f>IF(F27=0,0,F27/'Summary Load Customers '!$H$22)</f>
        <v>1.0118748711934957E-2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3,486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activeCell="C29" sqref="C29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June 30,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105</v>
      </c>
      <c r="C9" s="84">
        <v>2</v>
      </c>
      <c r="D9" s="85">
        <f>SUM(B9:C9)</f>
        <v>107</v>
      </c>
      <c r="E9" s="87"/>
      <c r="F9" s="87"/>
      <c r="G9" s="86"/>
      <c r="H9" s="75"/>
    </row>
    <row r="10" spans="1:9" x14ac:dyDescent="0.2">
      <c r="A10" s="82" t="s">
        <v>15</v>
      </c>
      <c r="B10" s="84">
        <v>2338</v>
      </c>
      <c r="C10" s="84">
        <v>28</v>
      </c>
      <c r="D10" s="85">
        <f>SUM(B10:C10)</f>
        <v>2366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2443</v>
      </c>
      <c r="C11" s="91">
        <f>IF(SUM(C8:C10)=0,0,SUM(C8:C10))</f>
        <v>30</v>
      </c>
      <c r="D11" s="91">
        <f>IF(SUM(D8:D10)=0,0,SUM(D8:D10))</f>
        <v>2473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124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409</v>
      </c>
      <c r="C16" s="84">
        <v>1</v>
      </c>
      <c r="D16" s="85">
        <f>SUM(B16:C16)</f>
        <v>410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411</v>
      </c>
      <c r="C17" s="91">
        <f>IF(SUM(C14:C16)=0,0,SUM(C14:C16))</f>
        <v>1</v>
      </c>
      <c r="D17" s="91">
        <f>IF(SUM(D14:D16)=0,0,SUM(D14:D16))</f>
        <v>412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107</v>
      </c>
      <c r="C21" s="96">
        <f>IF(C9+C15=0,0,C9+C15)</f>
        <v>2</v>
      </c>
      <c r="D21" s="85">
        <f t="shared" si="0"/>
        <v>109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2747</v>
      </c>
      <c r="C22" s="96">
        <f>IF(C10+C16=0,0,C10+C16)</f>
        <v>29</v>
      </c>
      <c r="D22" s="85">
        <f>IF(D10+D16=0,0,D10+D16)</f>
        <v>2776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2854</v>
      </c>
      <c r="C23" s="91">
        <f>IF(SUM(C20:C22)=0,0,SUM(C20:C22))</f>
        <v>31</v>
      </c>
      <c r="D23" s="91">
        <f>SUM(D20:D22)</f>
        <v>2885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124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160</v>
      </c>
      <c r="C27" s="84">
        <v>11</v>
      </c>
      <c r="D27" s="85">
        <f>SUM(B27:C27)</f>
        <v>171</v>
      </c>
    </row>
    <row r="28" spans="1:8" x14ac:dyDescent="0.2">
      <c r="A28" s="82" t="s">
        <v>15</v>
      </c>
      <c r="B28" s="84">
        <v>386</v>
      </c>
      <c r="C28" s="84">
        <v>44</v>
      </c>
      <c r="D28" s="85">
        <f>SUM(B28:C28)</f>
        <v>430</v>
      </c>
    </row>
    <row r="29" spans="1:8" x14ac:dyDescent="0.2">
      <c r="A29" s="90" t="str">
        <f>A23</f>
        <v>Total</v>
      </c>
      <c r="B29" s="109">
        <f>IF(B27+B28=0,0,B27+B28)</f>
        <v>546</v>
      </c>
      <c r="C29" s="91">
        <f>IF(SUM(C26:C28)=0,0,SUM(C26:C28))</f>
        <v>55</v>
      </c>
      <c r="D29" s="91">
        <f>IF(SUM(D26:D28)=0,0,SUM(D26:D28))</f>
        <v>601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267</v>
      </c>
      <c r="C33" s="96">
        <f t="shared" si="1"/>
        <v>13</v>
      </c>
      <c r="D33" s="85">
        <f t="shared" si="1"/>
        <v>280</v>
      </c>
      <c r="E33" s="75"/>
      <c r="F33" s="75"/>
      <c r="G33" s="75"/>
    </row>
    <row r="34" spans="1:7" x14ac:dyDescent="0.2">
      <c r="A34" s="82" t="s">
        <v>15</v>
      </c>
      <c r="B34" s="96">
        <f>B22+B28</f>
        <v>3133</v>
      </c>
      <c r="C34" s="96">
        <f t="shared" si="1"/>
        <v>73</v>
      </c>
      <c r="D34" s="85">
        <f t="shared" si="1"/>
        <v>3206</v>
      </c>
    </row>
    <row r="35" spans="1:7" x14ac:dyDescent="0.2">
      <c r="A35" s="90" t="str">
        <f>A29</f>
        <v>Total</v>
      </c>
      <c r="B35" s="91">
        <f>IF(B33+B34=0,0,B33+B34)</f>
        <v>3400</v>
      </c>
      <c r="C35" s="91">
        <f>IF(SUM(C32:C34)=0,0,SUM(C32:C34))</f>
        <v>86</v>
      </c>
      <c r="D35" s="91">
        <f>SUM(D32:D34)</f>
        <v>3486</v>
      </c>
    </row>
    <row r="37" spans="1:7" x14ac:dyDescent="0.2">
      <c r="A37" s="97" t="str">
        <f>"In summary, "&amp;TEXT($D$23,"0,000")&amp; " of UI's customers are participating in the CTCleanEnergyOptions Program"</f>
        <v>In summary, 2,885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601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3,486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1ff2d7e-782e-4868-861d-b0d3b4b9d0c2"/>
    <ds:schemaRef ds:uri="http://purl.org/dc/terms/"/>
    <ds:schemaRef ds:uri="http://schemas.openxmlformats.org/package/2006/metadata/core-properties"/>
    <ds:schemaRef ds:uri="http://purl.org/dc/elements/1.1/"/>
    <ds:schemaRef ds:uri="cd86f438-89d9-47e9-a174-9969eae3e2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2021-07-09T13:18:40Z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