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\\agrfil01.amer.iberdrola.local\VolM1\User\WRK_GRP\File_output_data\PURA_reports_filings\06-10-22_Switch_reports_and_letters\Supplier Counts\2021-08\"/>
    </mc:Choice>
  </mc:AlternateContent>
  <xr:revisionPtr revIDLastSave="0" documentId="10_ncr:100000_{0A802BEE-6828-4C3D-8563-EEDC8915B6FE}" xr6:coauthVersionLast="31" xr6:coauthVersionMax="31" xr10:uidLastSave="{00000000-0000-0000-0000-000000000000}"/>
  <bookViews>
    <workbookView xWindow="0" yWindow="0" windowWidth="20490" windowHeight="7245" tabRatio="838" activeTab="3" xr2:uid="{00000000-000D-0000-FFFF-FFFF00000000}"/>
  </bookViews>
  <sheets>
    <sheet name="Summary Load Customers " sheetId="7" r:id="rId1"/>
    <sheet name="Suppliers" sheetId="6" r:id="rId2"/>
    <sheet name="Summary REC Customers" sheetId="8" r:id="rId3"/>
    <sheet name="REC_programs_detail" sheetId="5" r:id="rId4"/>
  </sheets>
  <externalReferences>
    <externalReference r:id="rId5"/>
    <externalReference r:id="rId6"/>
  </externalReferences>
  <definedNames>
    <definedName name="_xlnm.Print_Area" localSheetId="3">REC_programs_detail!$A$1:$E$44</definedName>
    <definedName name="_xlnm.Print_Area" localSheetId="0">'Summary Load Customers '!$A$1:$I$35</definedName>
    <definedName name="_xlnm.Print_Area" localSheetId="2">'Summary REC Customers'!$A$1:$H$38</definedName>
  </definedNames>
  <calcPr calcId="179017"/>
</workbook>
</file>

<file path=xl/calcChain.xml><?xml version="1.0" encoding="utf-8"?>
<calcChain xmlns="http://schemas.openxmlformats.org/spreadsheetml/2006/main">
  <c r="B21" i="5" l="1"/>
  <c r="B22" i="5"/>
  <c r="C22" i="5"/>
  <c r="F21" i="7" l="1"/>
  <c r="D21" i="7"/>
  <c r="B21" i="7"/>
  <c r="F20" i="7"/>
  <c r="D20" i="7"/>
  <c r="B20" i="7"/>
  <c r="F11" i="7"/>
  <c r="D11" i="7"/>
  <c r="F12" i="7"/>
  <c r="D12" i="7"/>
  <c r="B12" i="7"/>
  <c r="B11" i="7"/>
  <c r="F44" i="6" l="1"/>
  <c r="F9" i="6" l="1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37" i="6"/>
  <c r="F38" i="6"/>
  <c r="F39" i="6"/>
  <c r="F40" i="6"/>
  <c r="F41" i="6"/>
  <c r="F42" i="6"/>
  <c r="F43" i="6"/>
  <c r="F45" i="6" l="1"/>
  <c r="B32" i="5"/>
  <c r="C11" i="5" l="1"/>
  <c r="A5" i="6" l="1"/>
  <c r="B33" i="5" l="1"/>
  <c r="C21" i="5"/>
  <c r="C33" i="5" s="1"/>
  <c r="C34" i="5"/>
  <c r="B34" i="5"/>
  <c r="A5" i="5" l="1"/>
  <c r="A6" i="8" l="1"/>
  <c r="B29" i="5"/>
  <c r="B20" i="8" s="1"/>
  <c r="F26" i="8"/>
  <c r="F19" i="8"/>
  <c r="F12" i="8"/>
  <c r="D8" i="5"/>
  <c r="D14" i="5"/>
  <c r="C20" i="5"/>
  <c r="C26" i="5" s="1"/>
  <c r="D9" i="5"/>
  <c r="D15" i="5"/>
  <c r="D27" i="5"/>
  <c r="D10" i="5"/>
  <c r="D16" i="5"/>
  <c r="D28" i="5"/>
  <c r="B22" i="7"/>
  <c r="D26" i="8"/>
  <c r="D19" i="8"/>
  <c r="D12" i="8"/>
  <c r="A23" i="5"/>
  <c r="A29" i="5" s="1"/>
  <c r="A35" i="5" s="1"/>
  <c r="C19" i="5"/>
  <c r="C31" i="5" s="1"/>
  <c r="A1" i="6"/>
  <c r="A1" i="5"/>
  <c r="C17" i="5"/>
  <c r="B11" i="5"/>
  <c r="B17" i="5"/>
  <c r="A22" i="7"/>
  <c r="A21" i="7"/>
  <c r="D10" i="7"/>
  <c r="F10" i="7" s="1"/>
  <c r="H10" i="7" s="1"/>
  <c r="D19" i="7"/>
  <c r="F19" i="7" s="1"/>
  <c r="H19" i="7" s="1"/>
  <c r="A20" i="7"/>
  <c r="A17" i="5"/>
  <c r="C13" i="5"/>
  <c r="C29" i="5" l="1"/>
  <c r="D20" i="8" s="1"/>
  <c r="F20" i="8" s="1"/>
  <c r="D26" i="5"/>
  <c r="D29" i="5" s="1"/>
  <c r="A38" i="5" s="1"/>
  <c r="C32" i="5"/>
  <c r="C20" i="7"/>
  <c r="C21" i="7"/>
  <c r="D22" i="5"/>
  <c r="D34" i="5" s="1"/>
  <c r="D21" i="5"/>
  <c r="D33" i="5" s="1"/>
  <c r="D17" i="5"/>
  <c r="C35" i="5"/>
  <c r="D11" i="5"/>
  <c r="B23" i="5"/>
  <c r="B13" i="8" s="1"/>
  <c r="C13" i="8" s="1"/>
  <c r="B35" i="5"/>
  <c r="C20" i="8"/>
  <c r="D32" i="5"/>
  <c r="C23" i="5"/>
  <c r="D13" i="8" s="1"/>
  <c r="F13" i="8" l="1"/>
  <c r="B27" i="8"/>
  <c r="C27" i="8" s="1"/>
  <c r="D35" i="5"/>
  <c r="A39" i="5" s="1"/>
  <c r="D23" i="5"/>
  <c r="A37" i="5" s="1"/>
  <c r="D27" i="8"/>
  <c r="F27" i="8" l="1"/>
  <c r="H21" i="7" l="1"/>
  <c r="F22" i="7" l="1"/>
  <c r="G21" i="7" s="1"/>
  <c r="G20" i="7" l="1"/>
  <c r="D22" i="7" l="1"/>
  <c r="E20" i="7" s="1"/>
  <c r="H20" i="7"/>
  <c r="H22" i="7" l="1"/>
  <c r="I20" i="7" s="1"/>
  <c r="A24" i="7" s="1"/>
  <c r="E21" i="7"/>
  <c r="E27" i="8"/>
  <c r="E20" i="8"/>
  <c r="E13" i="8"/>
  <c r="G13" i="8" l="1"/>
  <c r="A15" i="8" s="1"/>
  <c r="G27" i="8"/>
  <c r="A29" i="8" s="1"/>
  <c r="I21" i="7"/>
  <c r="A25" i="7" s="1"/>
  <c r="G20" i="8"/>
  <c r="A22" i="8" s="1"/>
  <c r="H12" i="7" l="1"/>
  <c r="B13" i="7"/>
  <c r="C11" i="7" s="1"/>
  <c r="C12" i="7" l="1"/>
  <c r="F13" i="7" l="1"/>
  <c r="G12" i="7" s="1"/>
  <c r="G11" i="7" l="1"/>
  <c r="D13" i="7"/>
  <c r="E12" i="7" s="1"/>
  <c r="H11" i="7"/>
  <c r="E11" i="7" l="1"/>
  <c r="H13" i="7"/>
  <c r="I12" i="7" s="1"/>
  <c r="A15" i="7" s="1"/>
  <c r="I11" i="7" l="1"/>
  <c r="A14" i="7" s="1"/>
</calcChain>
</file>

<file path=xl/sharedStrings.xml><?xml version="1.0" encoding="utf-8"?>
<sst xmlns="http://schemas.openxmlformats.org/spreadsheetml/2006/main" count="158" uniqueCount="92">
  <si>
    <t>The United Illuminating Company</t>
  </si>
  <si>
    <t>Compliance Filing for Docket No. 06-10-22</t>
  </si>
  <si>
    <t>Customer Counts by Class</t>
  </si>
  <si>
    <t>Electric Supplier</t>
  </si>
  <si>
    <t>Residential</t>
  </si>
  <si>
    <t>Business</t>
  </si>
  <si>
    <t>Total</t>
  </si>
  <si>
    <t>Business - SS</t>
  </si>
  <si>
    <t>Business - LRS</t>
  </si>
  <si>
    <t>MWh</t>
  </si>
  <si>
    <t>Suppliers</t>
  </si>
  <si>
    <t>UI</t>
  </si>
  <si>
    <t>Liberty Power Holdings, LLC</t>
  </si>
  <si>
    <t>Customers</t>
  </si>
  <si>
    <t>50% Option</t>
  </si>
  <si>
    <t>100 % Option</t>
  </si>
  <si>
    <t>The 10% - 40% options are available to large business customers only.</t>
  </si>
  <si>
    <t>SS = Standard Service;  LRS = Last Resort Service</t>
  </si>
  <si>
    <t>% of Total</t>
  </si>
  <si>
    <t>% of Class</t>
  </si>
  <si>
    <t>* The customer counts are as of month end and do not reflect pending enrollments.</t>
  </si>
  <si>
    <t>*The MWh load is cumulative for the calendar month (1 MWh = 1,000 kWh)</t>
  </si>
  <si>
    <t>*The customer counts are as of month end and do not reflect pending enrollments.</t>
  </si>
  <si>
    <t>Customers with monthly demands of 500kW or more are required to take service under LRS GSC rates.</t>
  </si>
  <si>
    <t>% of Supplier Customers</t>
  </si>
  <si>
    <t xml:space="preserve">Business </t>
  </si>
  <si>
    <t>Electric Supplier MWh Load and Customer Count</t>
  </si>
  <si>
    <r>
      <t>1</t>
    </r>
    <r>
      <rPr>
        <sz val="9"/>
        <rFont val="Arial"/>
        <family val="2"/>
      </rPr>
      <t xml:space="preserve"> Load is cumulative for the calendar month (1 MWh = 1,000 kWh)</t>
    </r>
  </si>
  <si>
    <r>
      <t xml:space="preserve">Customer Count - Suppliers and UI </t>
    </r>
    <r>
      <rPr>
        <b/>
        <vertAlign val="superscript"/>
        <sz val="8"/>
        <rFont val="Arial"/>
        <family val="2"/>
      </rPr>
      <t>2</t>
    </r>
  </si>
  <si>
    <r>
      <t>Customer Load - Suppliers and UI (</t>
    </r>
    <r>
      <rPr>
        <b/>
        <sz val="8"/>
        <rFont val="Arial"/>
        <family val="2"/>
      </rPr>
      <t>MWh</t>
    </r>
    <r>
      <rPr>
        <b/>
        <sz val="11"/>
        <rFont val="Arial"/>
        <family val="2"/>
      </rPr>
      <t xml:space="preserve">) </t>
    </r>
    <r>
      <rPr>
        <b/>
        <vertAlign val="superscript"/>
        <sz val="8"/>
        <rFont val="Arial"/>
        <family val="2"/>
      </rPr>
      <t>1</t>
    </r>
  </si>
  <si>
    <t>Residential - SS</t>
  </si>
  <si>
    <r>
      <t>2</t>
    </r>
    <r>
      <rPr>
        <sz val="9"/>
        <rFont val="Arial"/>
        <family val="2"/>
      </rPr>
      <t xml:space="preserve"> Customer counts are as of the date shown and do not reflect pending enrollments.</t>
    </r>
  </si>
  <si>
    <t>Total UI Territory</t>
  </si>
  <si>
    <t>Summary Data</t>
  </si>
  <si>
    <t>Renewable Energy Certificate - Number of Participating Customers*</t>
  </si>
  <si>
    <t>25% Option</t>
  </si>
  <si>
    <t>Community Energy - CTCleanEnergyOptions Program</t>
  </si>
  <si>
    <t>Sterling Planet - Renewable Energy Certificates</t>
  </si>
  <si>
    <t>Total - All REC options</t>
  </si>
  <si>
    <t>3Degrees  - CTCleanEnergyOptions Program</t>
  </si>
  <si>
    <t>Total -           CTCleanEnergyOptions Program</t>
  </si>
  <si>
    <t>Participation in CT REC programs</t>
  </si>
  <si>
    <t>Customer Count - REC only programs</t>
  </si>
  <si>
    <t>Total CCEO</t>
  </si>
  <si>
    <t>Total REC only</t>
  </si>
  <si>
    <t>Total all RECs</t>
  </si>
  <si>
    <t>Customer Count - Combined, CTCleanOptions Program and REC only programs</t>
  </si>
  <si>
    <t>REC Supplier Customer Count</t>
  </si>
  <si>
    <t>Summary Data for Renewable Energy Certificate ("REC") Sales</t>
  </si>
  <si>
    <r>
      <t>3</t>
    </r>
    <r>
      <rPr>
        <sz val="9"/>
        <rFont val="Arial"/>
        <family val="2"/>
      </rPr>
      <t xml:space="preserve"> The CTCleanOptions Program is </t>
    </r>
    <r>
      <rPr>
        <u/>
        <sz val="9"/>
        <rFont val="Arial"/>
        <family val="2"/>
      </rPr>
      <t>not</t>
    </r>
    <r>
      <rPr>
        <sz val="9"/>
        <rFont val="Arial"/>
        <family val="2"/>
      </rPr>
      <t xml:space="preserve"> an electric supply option.  Instead, participating customers support clean energy through a surcharge on their bill.</t>
    </r>
  </si>
  <si>
    <t>Ambit Energy</t>
  </si>
  <si>
    <t xml:space="preserve">   customers support clean energy through a surcharge on their bill.</t>
  </si>
  <si>
    <r>
      <t>Customer Count</t>
    </r>
    <r>
      <rPr>
        <b/>
        <vertAlign val="superscript"/>
        <sz val="11"/>
        <rFont val="Arial"/>
        <family val="2"/>
      </rPr>
      <t>2</t>
    </r>
    <r>
      <rPr>
        <b/>
        <sz val="11"/>
        <rFont val="Arial"/>
        <family val="2"/>
      </rPr>
      <t xml:space="preserve"> - CTCleanEnergyOptions Program</t>
    </r>
    <r>
      <rPr>
        <b/>
        <vertAlign val="superscript"/>
        <sz val="11"/>
        <rFont val="Arial"/>
        <family val="2"/>
      </rPr>
      <t>3</t>
    </r>
  </si>
  <si>
    <r>
      <t>3</t>
    </r>
    <r>
      <rPr>
        <sz val="9"/>
        <rFont val="Arial"/>
        <family val="2"/>
      </rPr>
      <t xml:space="preserve"> The CTCleanEnergyOptions Program ("CCEO") and the RECs only option are </t>
    </r>
    <r>
      <rPr>
        <u/>
        <sz val="9"/>
        <rFont val="Arial"/>
        <family val="2"/>
      </rPr>
      <t>not</t>
    </r>
    <r>
      <rPr>
        <sz val="9"/>
        <rFont val="Arial"/>
        <family val="2"/>
      </rPr>
      <t xml:space="preserve"> electric supply options.  Instead, participating </t>
    </r>
  </si>
  <si>
    <t>Think Energy</t>
  </si>
  <si>
    <t>Attachment 1</t>
  </si>
  <si>
    <t>Direct Energy Business</t>
  </si>
  <si>
    <t>Totals</t>
  </si>
  <si>
    <t>Calpine Energy Solutions, LLC</t>
  </si>
  <si>
    <t>Champion Energy Services</t>
  </si>
  <si>
    <t>Choice Energy, LLC</t>
  </si>
  <si>
    <t>Clearview Energy,Inc</t>
  </si>
  <si>
    <t>Connecticut Gas &amp; Electric, Inc.</t>
  </si>
  <si>
    <t>Constellation NewEnergy - C&amp;I</t>
  </si>
  <si>
    <t>Constellation NewEnergy - MM</t>
  </si>
  <si>
    <t>Direct Energy Services</t>
  </si>
  <si>
    <t>Discount Power, Inc.</t>
  </si>
  <si>
    <t>Eligo Energy CT, LLC</t>
  </si>
  <si>
    <t>Energy Plus Holdings LLC</t>
  </si>
  <si>
    <t>Energy Rewards</t>
  </si>
  <si>
    <t>ENGIE Resources Inc.</t>
  </si>
  <si>
    <t>First Point Power, LLC</t>
  </si>
  <si>
    <t>Major Energy Electric Services, LLC</t>
  </si>
  <si>
    <t>Mega Energy of New England</t>
  </si>
  <si>
    <t>NextEra Energy Services Connecticut, LLC</t>
  </si>
  <si>
    <t>North American Power and Gas</t>
  </si>
  <si>
    <t>NRG Retail Solutions</t>
  </si>
  <si>
    <t>Public Power, LLC</t>
  </si>
  <si>
    <t>Spark Energy, L. P.</t>
  </si>
  <si>
    <t>Starion Energy inc.</t>
  </si>
  <si>
    <t>Sunwave Gas &amp; Power</t>
  </si>
  <si>
    <t>Texas Retail Energy</t>
  </si>
  <si>
    <t>Town Square Energy, LLC</t>
  </si>
  <si>
    <t>Verde Energy USA, Inc.</t>
  </si>
  <si>
    <t>Viridian Energy, Inc.</t>
  </si>
  <si>
    <t>XOOM Energy Connecticut, LLC</t>
  </si>
  <si>
    <t>Wattifi, Inc</t>
  </si>
  <si>
    <t>Electric Suppliers - Customer Count Data</t>
  </si>
  <si>
    <t>MP2 Energy NE LLC</t>
  </si>
  <si>
    <t>EDF Energy Services, LLC</t>
  </si>
  <si>
    <t>Data as of August 31, 2021</t>
  </si>
  <si>
    <t>National Gas &amp; Electric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</si>
</sst>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%"/>
    <numFmt numFmtId="165" formatCode="[$-409]mmmm\ d\,\ yyyy;@"/>
  </numFmts>
  <fonts count="21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6"/>
      <name val="Arial"/>
      <family val="2"/>
    </font>
    <font>
      <u/>
      <sz val="11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b/>
      <vertAlign val="superscript"/>
      <sz val="8"/>
      <name val="Arial"/>
      <family val="2"/>
    </font>
    <font>
      <vertAlign val="superscript"/>
      <sz val="9"/>
      <name val="Arial"/>
      <family val="2"/>
    </font>
    <font>
      <u/>
      <sz val="9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u/>
      <sz val="8"/>
      <name val="Arial"/>
      <family val="2"/>
    </font>
    <font>
      <sz val="9"/>
      <name val="Arial"/>
      <family val="2"/>
    </font>
    <font>
      <b/>
      <vertAlign val="superscript"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/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/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/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</borders>
  <cellStyleXfs count="6">
    <xf numFmtId="0" fontId="0" fillId="0" borderId="0"/>
    <xf numFmtId="0" fontId="16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8">
    <xf numFmtId="0" fontId="0" fillId="0" borderId="0" xfId="0"/>
    <xf numFmtId="0" fontId="0" fillId="0" borderId="0" xfId="0" applyFill="1" applyProtection="1"/>
    <xf numFmtId="0" fontId="0" fillId="2" borderId="0" xfId="0" applyFill="1" applyProtection="1"/>
    <xf numFmtId="0" fontId="8" fillId="0" borderId="1" xfId="0" applyFont="1" applyBorder="1" applyAlignment="1" applyProtection="1">
      <alignment horizontal="centerContinuous" vertical="center"/>
    </xf>
    <xf numFmtId="0" fontId="8" fillId="0" borderId="2" xfId="0" applyFont="1" applyFill="1" applyBorder="1" applyAlignment="1" applyProtection="1">
      <alignment horizontal="center" vertical="center" wrapText="1"/>
    </xf>
    <xf numFmtId="0" fontId="9" fillId="0" borderId="0" xfId="0" applyFont="1" applyFill="1" applyProtection="1"/>
    <xf numFmtId="0" fontId="0" fillId="0" borderId="0" xfId="0" applyFill="1" applyBorder="1" applyAlignment="1" applyProtection="1">
      <alignment horizontal="centerContinuous" vertical="center"/>
    </xf>
    <xf numFmtId="0" fontId="0" fillId="0" borderId="0" xfId="0" applyFill="1" applyAlignment="1" applyProtection="1">
      <alignment vertical="center"/>
    </xf>
    <xf numFmtId="0" fontId="0" fillId="2" borderId="0" xfId="0" applyFill="1" applyAlignment="1" applyProtection="1">
      <alignment vertical="center"/>
    </xf>
    <xf numFmtId="0" fontId="8" fillId="0" borderId="0" xfId="0" applyFont="1" applyAlignment="1" applyProtection="1">
      <alignment horizontal="centerContinuous" vertical="center"/>
    </xf>
    <xf numFmtId="164" fontId="8" fillId="0" borderId="0" xfId="0" applyNumberFormat="1" applyFont="1" applyFill="1" applyBorder="1" applyAlignment="1" applyProtection="1">
      <alignment horizontal="center"/>
    </xf>
    <xf numFmtId="0" fontId="8" fillId="0" borderId="3" xfId="0" applyFont="1" applyBorder="1" applyAlignment="1" applyProtection="1">
      <alignment horizontal="centerContinuous" vertical="center"/>
    </xf>
    <xf numFmtId="0" fontId="3" fillId="0" borderId="0" xfId="0" applyFont="1" applyAlignment="1" applyProtection="1">
      <alignment horizontal="centerContinuous" vertical="center"/>
    </xf>
    <xf numFmtId="0" fontId="8" fillId="0" borderId="0" xfId="0" applyFont="1" applyFill="1" applyBorder="1" applyAlignment="1" applyProtection="1">
      <alignment horizontal="centerContinuous" vertical="center"/>
    </xf>
    <xf numFmtId="0" fontId="9" fillId="0" borderId="0" xfId="0" applyFont="1" applyFill="1" applyBorder="1" applyAlignment="1" applyProtection="1">
      <alignment horizontal="centerContinuous" vertical="center"/>
    </xf>
    <xf numFmtId="3" fontId="9" fillId="0" borderId="0" xfId="0" applyNumberFormat="1" applyFont="1" applyFill="1" applyBorder="1" applyAlignment="1" applyProtection="1">
      <alignment horizontal="center"/>
    </xf>
    <xf numFmtId="0" fontId="9" fillId="0" borderId="0" xfId="0" applyFont="1" applyFill="1" applyBorder="1" applyProtection="1"/>
    <xf numFmtId="3" fontId="9" fillId="0" borderId="2" xfId="0" applyNumberFormat="1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 applyProtection="1">
      <alignment horizontal="center" vertical="center"/>
    </xf>
    <xf numFmtId="0" fontId="8" fillId="0" borderId="4" xfId="0" applyFont="1" applyFill="1" applyBorder="1" applyAlignment="1" applyProtection="1">
      <alignment horizontal="centerContinuous" vertical="center"/>
    </xf>
    <xf numFmtId="3" fontId="9" fillId="0" borderId="2" xfId="0" applyNumberFormat="1" applyFont="1" applyFill="1" applyBorder="1" applyAlignment="1" applyProtection="1">
      <alignment horizontal="center"/>
    </xf>
    <xf numFmtId="164" fontId="9" fillId="0" borderId="2" xfId="2" applyNumberFormat="1" applyFont="1" applyFill="1" applyBorder="1" applyAlignment="1" applyProtection="1">
      <alignment horizontal="center"/>
    </xf>
    <xf numFmtId="0" fontId="2" fillId="2" borderId="0" xfId="0" applyFont="1" applyFill="1" applyAlignment="1" applyProtection="1">
      <alignment horizontal="centerContinuous" vertical="center"/>
    </xf>
    <xf numFmtId="0" fontId="2" fillId="2" borderId="0" xfId="0" applyFont="1" applyFill="1" applyBorder="1" applyAlignment="1" applyProtection="1">
      <alignment horizontal="centerContinuous" vertical="center"/>
    </xf>
    <xf numFmtId="0" fontId="0" fillId="2" borderId="0" xfId="0" applyFill="1" applyBorder="1" applyAlignment="1" applyProtection="1">
      <alignment horizontal="centerContinuous" vertical="center"/>
    </xf>
    <xf numFmtId="0" fontId="0" fillId="2" borderId="0" xfId="0" applyFill="1" applyAlignment="1" applyProtection="1">
      <alignment horizontal="centerContinuous" vertical="center"/>
    </xf>
    <xf numFmtId="0" fontId="8" fillId="2" borderId="0" xfId="0" applyFont="1" applyFill="1" applyAlignment="1" applyProtection="1">
      <alignment horizontal="centerContinuous" vertical="center"/>
    </xf>
    <xf numFmtId="0" fontId="0" fillId="2" borderId="0" xfId="0" applyFill="1" applyBorder="1" applyProtection="1"/>
    <xf numFmtId="0" fontId="3" fillId="2" borderId="0" xfId="0" applyFont="1" applyFill="1" applyBorder="1" applyAlignment="1" applyProtection="1">
      <alignment horizontal="centerContinuous" vertical="center" wrapText="1"/>
    </xf>
    <xf numFmtId="0" fontId="4" fillId="2" borderId="0" xfId="0" applyFont="1" applyFill="1" applyBorder="1" applyAlignment="1" applyProtection="1">
      <alignment horizontal="centerContinuous" vertical="center"/>
    </xf>
    <xf numFmtId="0" fontId="5" fillId="2" borderId="0" xfId="0" applyFont="1" applyFill="1" applyBorder="1" applyAlignment="1" applyProtection="1">
      <alignment horizontal="centerContinuous" vertical="center" wrapText="1"/>
    </xf>
    <xf numFmtId="0" fontId="3" fillId="2" borderId="5" xfId="0" applyFont="1" applyFill="1" applyBorder="1" applyAlignment="1" applyProtection="1">
      <alignment horizontal="centerContinuous" vertical="center"/>
    </xf>
    <xf numFmtId="0" fontId="3" fillId="2" borderId="6" xfId="0" applyFont="1" applyFill="1" applyBorder="1" applyAlignment="1" applyProtection="1">
      <alignment horizontal="centerContinuous" vertical="center"/>
    </xf>
    <xf numFmtId="0" fontId="0" fillId="2" borderId="6" xfId="0" applyFill="1" applyBorder="1" applyAlignment="1" applyProtection="1">
      <alignment horizontal="centerContinuous" vertical="center"/>
    </xf>
    <xf numFmtId="9" fontId="3" fillId="2" borderId="6" xfId="0" applyNumberFormat="1" applyFont="1" applyFill="1" applyBorder="1" applyAlignment="1" applyProtection="1">
      <alignment horizontal="centerContinuous" vertical="center"/>
    </xf>
    <xf numFmtId="0" fontId="0" fillId="2" borderId="0" xfId="0" applyFill="1" applyAlignment="1" applyProtection="1">
      <alignment wrapText="1"/>
    </xf>
    <xf numFmtId="0" fontId="3" fillId="2" borderId="0" xfId="0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 wrapText="1"/>
    </xf>
    <xf numFmtId="0" fontId="4" fillId="2" borderId="0" xfId="0" applyFont="1" applyFill="1" applyBorder="1" applyProtection="1"/>
    <xf numFmtId="164" fontId="4" fillId="2" borderId="8" xfId="2" applyNumberFormat="1" applyFont="1" applyFill="1" applyBorder="1" applyAlignment="1" applyProtection="1">
      <alignment horizontal="center"/>
    </xf>
    <xf numFmtId="3" fontId="4" fillId="2" borderId="7" xfId="0" applyNumberFormat="1" applyFont="1" applyFill="1" applyBorder="1" applyAlignment="1" applyProtection="1">
      <alignment horizontal="center"/>
    </xf>
    <xf numFmtId="3" fontId="4" fillId="2" borderId="9" xfId="0" applyNumberFormat="1" applyFont="1" applyFill="1" applyBorder="1" applyAlignment="1" applyProtection="1">
      <alignment horizontal="center"/>
    </xf>
    <xf numFmtId="164" fontId="4" fillId="2" borderId="10" xfId="2" applyNumberFormat="1" applyFont="1" applyFill="1" applyBorder="1" applyAlignment="1" applyProtection="1">
      <alignment horizontal="center"/>
    </xf>
    <xf numFmtId="0" fontId="4" fillId="2" borderId="10" xfId="0" applyFont="1" applyFill="1" applyBorder="1" applyProtection="1"/>
    <xf numFmtId="0" fontId="12" fillId="2" borderId="0" xfId="0" applyFont="1" applyFill="1" applyProtection="1"/>
    <xf numFmtId="3" fontId="3" fillId="2" borderId="0" xfId="0" applyNumberFormat="1" applyFont="1" applyFill="1" applyBorder="1" applyAlignment="1" applyProtection="1">
      <alignment horizontal="center"/>
    </xf>
    <xf numFmtId="164" fontId="4" fillId="2" borderId="0" xfId="2" applyNumberFormat="1" applyFont="1" applyFill="1" applyBorder="1" applyAlignment="1" applyProtection="1">
      <alignment horizontal="center"/>
    </xf>
    <xf numFmtId="3" fontId="4" fillId="2" borderId="0" xfId="0" applyNumberFormat="1" applyFont="1" applyFill="1" applyBorder="1" applyAlignment="1" applyProtection="1">
      <alignment horizontal="center"/>
    </xf>
    <xf numFmtId="9" fontId="3" fillId="2" borderId="0" xfId="0" applyNumberFormat="1" applyFont="1" applyFill="1" applyBorder="1" applyAlignment="1" applyProtection="1">
      <alignment horizontal="center"/>
    </xf>
    <xf numFmtId="164" fontId="3" fillId="2" borderId="0" xfId="0" applyNumberFormat="1" applyFont="1" applyFill="1" applyBorder="1" applyAlignment="1" applyProtection="1">
      <alignment horizontal="centerContinuous" vertical="center"/>
    </xf>
    <xf numFmtId="0" fontId="3" fillId="2" borderId="6" xfId="0" applyFont="1" applyFill="1" applyBorder="1" applyAlignment="1" applyProtection="1">
      <alignment horizontal="centerContinuous"/>
    </xf>
    <xf numFmtId="0" fontId="0" fillId="2" borderId="6" xfId="0" applyFill="1" applyBorder="1" applyAlignment="1" applyProtection="1">
      <alignment horizontal="centerContinuous"/>
    </xf>
    <xf numFmtId="9" fontId="4" fillId="2" borderId="8" xfId="2" applyNumberFormat="1" applyFont="1" applyFill="1" applyBorder="1" applyAlignment="1" applyProtection="1">
      <alignment horizontal="center"/>
    </xf>
    <xf numFmtId="3" fontId="0" fillId="2" borderId="0" xfId="0" applyNumberFormat="1" applyFill="1" applyProtection="1"/>
    <xf numFmtId="10" fontId="4" fillId="2" borderId="10" xfId="2" applyNumberFormat="1" applyFont="1" applyFill="1" applyBorder="1" applyAlignment="1" applyProtection="1">
      <alignment horizontal="center"/>
    </xf>
    <xf numFmtId="3" fontId="3" fillId="2" borderId="0" xfId="0" applyNumberFormat="1" applyFont="1" applyFill="1" applyBorder="1" applyAlignment="1" applyProtection="1">
      <alignment horizontal="right"/>
    </xf>
    <xf numFmtId="164" fontId="3" fillId="2" borderId="0" xfId="0" applyNumberFormat="1" applyFont="1" applyFill="1" applyBorder="1" applyAlignment="1" applyProtection="1">
      <alignment horizontal="right"/>
    </xf>
    <xf numFmtId="164" fontId="3" fillId="2" borderId="0" xfId="0" applyNumberFormat="1" applyFont="1" applyFill="1" applyBorder="1" applyAlignment="1" applyProtection="1">
      <alignment horizontal="center"/>
    </xf>
    <xf numFmtId="164" fontId="8" fillId="2" borderId="0" xfId="0" applyNumberFormat="1" applyFont="1" applyFill="1" applyBorder="1" applyAlignment="1" applyProtection="1">
      <alignment horizontal="center"/>
    </xf>
    <xf numFmtId="0" fontId="2" fillId="2" borderId="0" xfId="0" applyFont="1" applyFill="1" applyAlignment="1" applyProtection="1">
      <alignment horizontal="centerContinuous"/>
    </xf>
    <xf numFmtId="0" fontId="0" fillId="2" borderId="0" xfId="0" applyFill="1" applyBorder="1" applyAlignment="1" applyProtection="1">
      <alignment horizontal="centerContinuous"/>
    </xf>
    <xf numFmtId="164" fontId="3" fillId="2" borderId="0" xfId="0" applyNumberFormat="1" applyFont="1" applyFill="1" applyBorder="1" applyAlignment="1" applyProtection="1">
      <alignment horizontal="centerContinuous"/>
    </xf>
    <xf numFmtId="164" fontId="8" fillId="2" borderId="0" xfId="0" applyNumberFormat="1" applyFont="1" applyFill="1" applyBorder="1" applyAlignment="1" applyProtection="1">
      <alignment horizontal="centerContinuous"/>
    </xf>
    <xf numFmtId="0" fontId="0" fillId="2" borderId="0" xfId="0" applyFill="1" applyAlignment="1" applyProtection="1">
      <alignment horizontal="centerContinuous"/>
    </xf>
    <xf numFmtId="164" fontId="5" fillId="2" borderId="0" xfId="0" applyNumberFormat="1" applyFont="1" applyFill="1" applyBorder="1" applyAlignment="1" applyProtection="1">
      <alignment horizontal="center"/>
    </xf>
    <xf numFmtId="0" fontId="14" fillId="2" borderId="0" xfId="0" applyFont="1" applyFill="1" applyBorder="1" applyProtection="1"/>
    <xf numFmtId="0" fontId="7" fillId="2" borderId="0" xfId="0" applyFont="1" applyFill="1" applyBorder="1" applyProtection="1"/>
    <xf numFmtId="3" fontId="4" fillId="0" borderId="7" xfId="0" applyNumberFormat="1" applyFont="1" applyFill="1" applyBorder="1" applyAlignment="1" applyProtection="1">
      <alignment horizontal="center"/>
      <protection locked="0"/>
    </xf>
    <xf numFmtId="3" fontId="6" fillId="0" borderId="7" xfId="0" applyNumberFormat="1" applyFont="1" applyFill="1" applyBorder="1" applyAlignment="1" applyProtection="1">
      <alignment horizontal="center"/>
      <protection locked="0"/>
    </xf>
    <xf numFmtId="0" fontId="0" fillId="0" borderId="0" xfId="0" applyFill="1" applyAlignment="1" applyProtection="1">
      <alignment horizontal="centerContinuous" vertical="center"/>
    </xf>
    <xf numFmtId="0" fontId="11" fillId="2" borderId="0" xfId="0" applyFont="1" applyFill="1" applyBorder="1" applyAlignment="1" applyProtection="1">
      <alignment horizontal="centerContinuous" vertical="center"/>
    </xf>
    <xf numFmtId="0" fontId="17" fillId="2" borderId="0" xfId="0" applyFont="1" applyFill="1" applyBorder="1" applyAlignment="1" applyProtection="1">
      <alignment vertical="center"/>
    </xf>
    <xf numFmtId="0" fontId="17" fillId="2" borderId="0" xfId="0" applyFont="1" applyFill="1" applyAlignment="1" applyProtection="1">
      <alignment vertical="center"/>
    </xf>
    <xf numFmtId="0" fontId="17" fillId="2" borderId="0" xfId="0" applyFont="1" applyFill="1" applyProtection="1"/>
    <xf numFmtId="0" fontId="17" fillId="2" borderId="0" xfId="0" applyFont="1" applyFill="1" applyBorder="1" applyProtection="1"/>
    <xf numFmtId="0" fontId="11" fillId="2" borderId="2" xfId="0" applyFont="1" applyFill="1" applyBorder="1" applyAlignment="1" applyProtection="1">
      <alignment horizontal="center" vertical="center" wrapText="1"/>
    </xf>
    <xf numFmtId="0" fontId="11" fillId="0" borderId="5" xfId="0" applyFont="1" applyBorder="1" applyAlignment="1" applyProtection="1">
      <alignment horizontal="centerContinuous" vertical="center"/>
    </xf>
    <xf numFmtId="0" fontId="17" fillId="2" borderId="0" xfId="0" applyFont="1" applyFill="1" applyBorder="1" applyAlignment="1" applyProtection="1">
      <alignment horizontal="centerContinuous" vertical="center" wrapText="1"/>
    </xf>
    <xf numFmtId="0" fontId="11" fillId="2" borderId="0" xfId="0" applyFont="1" applyFill="1" applyBorder="1" applyAlignment="1" applyProtection="1">
      <alignment horizontal="center" wrapText="1"/>
    </xf>
    <xf numFmtId="0" fontId="17" fillId="2" borderId="0" xfId="0" applyFont="1" applyFill="1" applyBorder="1" applyAlignment="1" applyProtection="1">
      <alignment wrapText="1"/>
    </xf>
    <xf numFmtId="0" fontId="17" fillId="2" borderId="0" xfId="0" applyFont="1" applyFill="1" applyAlignment="1" applyProtection="1">
      <alignment wrapText="1"/>
    </xf>
    <xf numFmtId="0" fontId="17" fillId="2" borderId="2" xfId="0" applyFont="1" applyFill="1" applyBorder="1" applyProtection="1"/>
    <xf numFmtId="3" fontId="17" fillId="0" borderId="2" xfId="0" applyNumberFormat="1" applyFont="1" applyFill="1" applyBorder="1" applyAlignment="1" applyProtection="1">
      <alignment horizontal="center"/>
    </xf>
    <xf numFmtId="3" fontId="17" fillId="0" borderId="2" xfId="0" applyNumberFormat="1" applyFont="1" applyFill="1" applyBorder="1" applyAlignment="1" applyProtection="1">
      <alignment horizontal="center"/>
      <protection locked="0"/>
    </xf>
    <xf numFmtId="3" fontId="17" fillId="2" borderId="2" xfId="0" applyNumberFormat="1" applyFont="1" applyFill="1" applyBorder="1" applyAlignment="1" applyProtection="1">
      <alignment horizontal="center"/>
    </xf>
    <xf numFmtId="9" fontId="11" fillId="2" borderId="0" xfId="0" applyNumberFormat="1" applyFont="1" applyFill="1" applyBorder="1" applyAlignment="1" applyProtection="1">
      <alignment horizontal="center"/>
    </xf>
    <xf numFmtId="0" fontId="18" fillId="2" borderId="0" xfId="0" applyFont="1" applyFill="1" applyBorder="1" applyAlignment="1" applyProtection="1">
      <alignment horizontal="center" vertical="center" wrapText="1"/>
    </xf>
    <xf numFmtId="3" fontId="17" fillId="2" borderId="0" xfId="0" applyNumberFormat="1" applyFont="1" applyFill="1" applyBorder="1" applyAlignment="1" applyProtection="1">
      <alignment horizontal="right"/>
    </xf>
    <xf numFmtId="164" fontId="17" fillId="2" borderId="0" xfId="0" applyNumberFormat="1" applyFont="1" applyFill="1" applyBorder="1" applyAlignment="1" applyProtection="1">
      <alignment horizontal="right"/>
    </xf>
    <xf numFmtId="0" fontId="11" fillId="2" borderId="2" xfId="0" applyFont="1" applyFill="1" applyBorder="1" applyAlignment="1" applyProtection="1">
      <alignment horizontal="center"/>
    </xf>
    <xf numFmtId="3" fontId="11" fillId="2" borderId="2" xfId="0" applyNumberFormat="1" applyFont="1" applyFill="1" applyBorder="1" applyAlignment="1" applyProtection="1">
      <alignment horizontal="center"/>
    </xf>
    <xf numFmtId="3" fontId="17" fillId="2" borderId="0" xfId="0" applyNumberFormat="1" applyFont="1" applyFill="1" applyBorder="1" applyAlignment="1" applyProtection="1">
      <alignment horizontal="center"/>
    </xf>
    <xf numFmtId="164" fontId="11" fillId="2" borderId="0" xfId="0" applyNumberFormat="1" applyFont="1" applyFill="1" applyBorder="1" applyAlignment="1" applyProtection="1">
      <alignment horizontal="center"/>
    </xf>
    <xf numFmtId="3" fontId="11" fillId="2" borderId="0" xfId="0" applyNumberFormat="1" applyFont="1" applyFill="1" applyBorder="1" applyAlignment="1" applyProtection="1">
      <alignment horizontal="right"/>
    </xf>
    <xf numFmtId="164" fontId="11" fillId="2" borderId="0" xfId="0" applyNumberFormat="1" applyFont="1" applyFill="1" applyBorder="1" applyAlignment="1" applyProtection="1">
      <alignment horizontal="right"/>
    </xf>
    <xf numFmtId="3" fontId="17" fillId="2" borderId="2" xfId="0" applyNumberFormat="1" applyFont="1" applyFill="1" applyBorder="1" applyAlignment="1" applyProtection="1">
      <alignment horizontal="center"/>
      <protection locked="0"/>
    </xf>
    <xf numFmtId="0" fontId="17" fillId="0" borderId="0" xfId="0" applyFont="1" applyFill="1" applyProtection="1"/>
    <xf numFmtId="0" fontId="17" fillId="0" borderId="0" xfId="0" applyFont="1" applyFill="1" applyBorder="1" applyProtection="1"/>
    <xf numFmtId="0" fontId="19" fillId="2" borderId="0" xfId="0" applyFont="1" applyFill="1" applyProtection="1"/>
    <xf numFmtId="0" fontId="1" fillId="2" borderId="0" xfId="0" applyFont="1" applyFill="1" applyProtection="1"/>
    <xf numFmtId="0" fontId="8" fillId="2" borderId="0" xfId="0" applyFont="1" applyFill="1" applyProtection="1"/>
    <xf numFmtId="3" fontId="6" fillId="2" borderId="7" xfId="0" applyNumberFormat="1" applyFont="1" applyFill="1" applyBorder="1" applyAlignment="1" applyProtection="1">
      <alignment horizontal="center"/>
    </xf>
    <xf numFmtId="14" fontId="10" fillId="0" borderId="0" xfId="0" applyNumberFormat="1" applyFont="1" applyFill="1" applyProtection="1"/>
    <xf numFmtId="0" fontId="8" fillId="0" borderId="0" xfId="0" applyFont="1" applyFill="1" applyProtection="1"/>
    <xf numFmtId="3" fontId="1" fillId="0" borderId="2" xfId="3" applyNumberFormat="1" applyFont="1" applyFill="1" applyBorder="1" applyAlignment="1" applyProtection="1">
      <alignment horizontal="center"/>
    </xf>
    <xf numFmtId="3" fontId="1" fillId="0" borderId="0" xfId="3" applyNumberFormat="1" applyFont="1" applyFill="1" applyBorder="1" applyAlignment="1" applyProtection="1">
      <alignment horizontal="center"/>
    </xf>
    <xf numFmtId="0" fontId="4" fillId="2" borderId="0" xfId="0" applyFont="1" applyFill="1" applyBorder="1" applyAlignment="1" applyProtection="1"/>
    <xf numFmtId="164" fontId="0" fillId="0" borderId="0" xfId="0" applyNumberFormat="1" applyFill="1" applyProtection="1"/>
    <xf numFmtId="3" fontId="11" fillId="0" borderId="2" xfId="0" applyNumberFormat="1" applyFont="1" applyFill="1" applyBorder="1" applyAlignment="1" applyProtection="1">
      <alignment horizontal="center"/>
    </xf>
    <xf numFmtId="165" fontId="8" fillId="2" borderId="0" xfId="0" applyNumberFormat="1" applyFont="1" applyFill="1" applyAlignment="1" applyProtection="1">
      <alignment horizontal="centerContinuous" vertical="center"/>
    </xf>
    <xf numFmtId="0" fontId="0" fillId="0" borderId="0" xfId="0" applyNumberFormat="1"/>
    <xf numFmtId="0" fontId="0" fillId="0" borderId="11" xfId="0" applyNumberFormat="1" applyBorder="1"/>
    <xf numFmtId="0" fontId="0" fillId="0" borderId="12" xfId="0" applyNumberFormat="1" applyBorder="1"/>
    <xf numFmtId="0" fontId="0" fillId="0" borderId="13" xfId="0" applyNumberFormat="1" applyBorder="1"/>
    <xf numFmtId="0" fontId="0" fillId="0" borderId="14" xfId="0" applyNumberFormat="1" applyBorder="1"/>
    <xf numFmtId="0" fontId="0" fillId="0" borderId="15" xfId="0" applyNumberFormat="1" applyBorder="1"/>
    <xf numFmtId="0" fontId="0" fillId="0" borderId="16" xfId="0" applyNumberFormat="1" applyBorder="1"/>
    <xf numFmtId="0" fontId="0" fillId="0" borderId="17" xfId="0" applyNumberFormat="1" applyBorder="1"/>
    <xf numFmtId="3" fontId="0" fillId="0" borderId="0" xfId="0" applyNumberFormat="1" applyBorder="1" applyAlignment="1">
      <alignment vertical="top"/>
    </xf>
    <xf numFmtId="0" fontId="0" fillId="0" borderId="0" xfId="0" applyNumberFormat="1" applyBorder="1"/>
    <xf numFmtId="164" fontId="9" fillId="0" borderId="0" xfId="2" applyNumberFormat="1" applyFont="1" applyFill="1" applyBorder="1" applyAlignment="1" applyProtection="1">
      <alignment horizontal="center"/>
    </xf>
    <xf numFmtId="0" fontId="1" fillId="2" borderId="2" xfId="0" applyFont="1" applyFill="1" applyBorder="1" applyProtection="1"/>
    <xf numFmtId="0" fontId="0" fillId="0" borderId="18" xfId="0" applyNumberFormat="1" applyBorder="1"/>
    <xf numFmtId="0" fontId="11" fillId="3" borderId="2" xfId="0" applyFont="1" applyFill="1" applyBorder="1" applyAlignment="1" applyProtection="1">
      <alignment horizontal="center" vertical="center" wrapText="1"/>
    </xf>
    <xf numFmtId="0" fontId="2" fillId="2" borderId="0" xfId="0" applyFont="1" applyFill="1" applyAlignment="1" applyProtection="1">
      <alignment horizontal="center" vertical="center"/>
    </xf>
    <xf numFmtId="0" fontId="3" fillId="2" borderId="0" xfId="0" applyFont="1" applyFill="1" applyBorder="1" applyAlignment="1" applyProtection="1">
      <alignment horizontal="center" vertical="center"/>
    </xf>
    <xf numFmtId="0" fontId="3" fillId="2" borderId="0" xfId="0" applyFont="1" applyFill="1" applyAlignment="1" applyProtection="1">
      <alignment horizontal="center" vertical="center"/>
    </xf>
  </cellXfs>
  <cellStyles count="6">
    <cellStyle name="Comma 2" xfId="4" xr:uid="{00000000-0005-0000-0000-000000000000}"/>
    <cellStyle name="Normal" xfId="0" builtinId="0"/>
    <cellStyle name="Normal 2" xfId="1" xr:uid="{00000000-0005-0000-0000-000002000000}"/>
    <cellStyle name="Normal 3" xfId="3" xr:uid="{00000000-0005-0000-0000-000003000000}"/>
    <cellStyle name="Percent" xfId="2" builtinId="5"/>
    <cellStyle name="Percent 2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WRK_GRP/File_output_data/Billing_Data/Daily_Load_Ufe/2021_Total/2021_08_%20Month_total_load_by_segmen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WRK_GRP/File_output_data/PURA_reports_filings/06-10-22_Switch_reports_and_letters/Customer_count_files/2021/202108_August_2021_customer_count_calculat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w"/>
      <sheetName val="Sheet1"/>
      <sheetName val="Just Total"/>
      <sheetName val="For Report"/>
      <sheetName val="UI_RES"/>
      <sheetName val="Alt_res"/>
      <sheetName val="UI_C&amp;I_SS"/>
      <sheetName val="ALT_C&amp;I"/>
      <sheetName val="LRS-SOL"/>
      <sheetName val="1268&amp;1269"/>
      <sheetName val="Che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4">
          <cell r="H24">
            <v>57877.977999999959</v>
          </cell>
        </row>
        <row r="25">
          <cell r="H25">
            <v>135918.46800000008</v>
          </cell>
        </row>
        <row r="26">
          <cell r="H26">
            <v>79953.670000000013</v>
          </cell>
        </row>
        <row r="29">
          <cell r="H29">
            <v>200706.31299999999</v>
          </cell>
        </row>
        <row r="30">
          <cell r="H30">
            <v>63034.919000000002</v>
          </cell>
        </row>
        <row r="31">
          <cell r="H31">
            <v>8499.4189999999999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w from BW"/>
      <sheetName val="Check"/>
      <sheetName val="Raw"/>
      <sheetName val="For RFP"/>
      <sheetName val="Suppliers"/>
      <sheetName val="Res"/>
      <sheetName val="C&amp;I"/>
      <sheetName val="LRS"/>
      <sheetName val="Summary"/>
      <sheetName val="Suppliers codes"/>
      <sheetName val="Asset ID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8">
          <cell r="B18">
            <v>62280</v>
          </cell>
        </row>
        <row r="19">
          <cell r="B19">
            <v>18829</v>
          </cell>
        </row>
        <row r="20">
          <cell r="B20">
            <v>184</v>
          </cell>
        </row>
        <row r="22">
          <cell r="B22">
            <v>244457</v>
          </cell>
        </row>
        <row r="23">
          <cell r="B23">
            <v>19480</v>
          </cell>
        </row>
        <row r="24">
          <cell r="B24">
            <v>26</v>
          </cell>
        </row>
      </sheetData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6"/>
  <sheetViews>
    <sheetView showGridLines="0" showZeros="0" topLeftCell="A13" zoomScaleNormal="100" workbookViewId="0">
      <selection activeCell="A24" sqref="A24"/>
    </sheetView>
  </sheetViews>
  <sheetFormatPr defaultColWidth="9.140625" defaultRowHeight="12.75" x14ac:dyDescent="0.2"/>
  <cols>
    <col min="1" max="1" width="18.140625" style="2" customWidth="1"/>
    <col min="2" max="2" width="14.28515625" style="2" customWidth="1"/>
    <col min="3" max="3" width="11.7109375" style="2" customWidth="1"/>
    <col min="4" max="4" width="14.28515625" style="2" customWidth="1"/>
    <col min="5" max="5" width="11.7109375" style="2" customWidth="1"/>
    <col min="6" max="6" width="14.28515625" style="2" customWidth="1"/>
    <col min="7" max="7" width="11.7109375" style="2" customWidth="1"/>
    <col min="8" max="8" width="14.28515625" style="2" customWidth="1"/>
    <col min="9" max="9" width="11.7109375" style="2" customWidth="1"/>
    <col min="10" max="16384" width="9.140625" style="2"/>
  </cols>
  <sheetData>
    <row r="1" spans="1:15" s="8" customFormat="1" ht="18" customHeight="1" x14ac:dyDescent="0.2">
      <c r="A1" s="22" t="s">
        <v>0</v>
      </c>
      <c r="B1" s="23"/>
      <c r="C1" s="23"/>
      <c r="D1" s="23"/>
      <c r="E1" s="23"/>
      <c r="F1" s="23"/>
      <c r="G1" s="24"/>
      <c r="H1" s="25"/>
      <c r="I1" s="25"/>
    </row>
    <row r="2" spans="1:15" s="8" customFormat="1" ht="18" customHeight="1" x14ac:dyDescent="0.2">
      <c r="A2" s="22" t="s">
        <v>55</v>
      </c>
      <c r="B2" s="23"/>
      <c r="C2" s="23"/>
      <c r="D2" s="23"/>
      <c r="E2" s="23"/>
      <c r="F2" s="23"/>
      <c r="G2" s="24"/>
      <c r="H2" s="25"/>
      <c r="I2" s="25"/>
    </row>
    <row r="3" spans="1:15" s="8" customFormat="1" ht="18" customHeight="1" x14ac:dyDescent="0.2">
      <c r="A3" s="22" t="s">
        <v>33</v>
      </c>
      <c r="B3" s="23"/>
      <c r="C3" s="23"/>
      <c r="D3" s="23"/>
      <c r="E3" s="23"/>
      <c r="F3" s="23"/>
      <c r="G3" s="24"/>
      <c r="H3" s="25"/>
      <c r="I3" s="25"/>
    </row>
    <row r="4" spans="1:15" s="8" customFormat="1" ht="18" customHeight="1" x14ac:dyDescent="0.2">
      <c r="A4" s="22" t="s">
        <v>26</v>
      </c>
      <c r="B4" s="23"/>
      <c r="C4" s="23"/>
      <c r="D4" s="23"/>
      <c r="E4" s="23"/>
      <c r="F4" s="23"/>
      <c r="G4" s="24"/>
      <c r="H4" s="25"/>
      <c r="I4" s="25"/>
    </row>
    <row r="5" spans="1:15" s="8" customFormat="1" ht="18" customHeight="1" x14ac:dyDescent="0.2">
      <c r="A5" s="26" t="s">
        <v>1</v>
      </c>
      <c r="B5" s="25"/>
      <c r="C5" s="25"/>
      <c r="D5" s="25"/>
      <c r="E5" s="25"/>
      <c r="F5" s="25"/>
      <c r="G5" s="25"/>
      <c r="H5" s="25"/>
      <c r="I5" s="25"/>
    </row>
    <row r="6" spans="1:15" s="8" customFormat="1" ht="18" customHeight="1" x14ac:dyDescent="0.2">
      <c r="A6" s="110" t="s">
        <v>90</v>
      </c>
      <c r="B6" s="110"/>
      <c r="C6" s="25"/>
      <c r="D6" s="70"/>
      <c r="E6" s="70"/>
      <c r="F6" s="70"/>
      <c r="G6" s="25"/>
      <c r="H6" s="25"/>
      <c r="I6" s="25"/>
    </row>
    <row r="8" spans="1:15" ht="18" customHeight="1" x14ac:dyDescent="0.2">
      <c r="A8" s="28" t="s">
        <v>29</v>
      </c>
      <c r="B8" s="29"/>
      <c r="C8" s="29"/>
      <c r="D8" s="29"/>
      <c r="E8" s="29"/>
      <c r="F8" s="29"/>
      <c r="G8" s="30"/>
      <c r="H8" s="25"/>
      <c r="I8" s="25"/>
    </row>
    <row r="9" spans="1:15" s="35" customFormat="1" ht="18" customHeight="1" x14ac:dyDescent="0.2">
      <c r="A9" s="2"/>
      <c r="B9" s="31" t="s">
        <v>30</v>
      </c>
      <c r="C9" s="32"/>
      <c r="D9" s="31" t="s">
        <v>7</v>
      </c>
      <c r="E9" s="33"/>
      <c r="F9" s="31" t="s">
        <v>8</v>
      </c>
      <c r="G9" s="34"/>
      <c r="H9" s="31" t="s">
        <v>32</v>
      </c>
      <c r="I9" s="33"/>
    </row>
    <row r="10" spans="1:15" ht="18" customHeight="1" x14ac:dyDescent="0.2">
      <c r="A10" s="36"/>
      <c r="B10" s="37" t="s">
        <v>9</v>
      </c>
      <c r="C10" s="38" t="s">
        <v>19</v>
      </c>
      <c r="D10" s="37" t="str">
        <f>B10</f>
        <v>MWh</v>
      </c>
      <c r="E10" s="38" t="s">
        <v>19</v>
      </c>
      <c r="F10" s="37" t="str">
        <f>D10</f>
        <v>MWh</v>
      </c>
      <c r="G10" s="38" t="s">
        <v>19</v>
      </c>
      <c r="H10" s="37" t="str">
        <f>F10</f>
        <v>MWh</v>
      </c>
      <c r="I10" s="38" t="s">
        <v>18</v>
      </c>
    </row>
    <row r="11" spans="1:15" ht="18" customHeight="1" x14ac:dyDescent="0.2">
      <c r="A11" s="39" t="s">
        <v>10</v>
      </c>
      <c r="B11" s="68">
        <f>[1]Check!$H$24</f>
        <v>57877.977999999959</v>
      </c>
      <c r="C11" s="40">
        <f>IF(B11=0,0,B11/$B$13)</f>
        <v>0.22382634991543229</v>
      </c>
      <c r="D11" s="68">
        <f>[1]Check!$H$25</f>
        <v>135918.46800000008</v>
      </c>
      <c r="E11" s="40">
        <f>IF(D11=0,0,D11/$D$13)</f>
        <v>0.68316739940697779</v>
      </c>
      <c r="F11" s="68">
        <f>[1]Check!$H$26</f>
        <v>79953.670000000013</v>
      </c>
      <c r="G11" s="40">
        <f>IF(F11=0,0,F11/$F$13)</f>
        <v>0.90391043324671239</v>
      </c>
      <c r="H11" s="41">
        <f>IF(B11+D11+F11=0,0,B11+D11+F11)</f>
        <v>273750.11600000004</v>
      </c>
      <c r="I11" s="40">
        <f>IF(H11=0,0,H11/$H$13)</f>
        <v>0.5013823173313845</v>
      </c>
    </row>
    <row r="12" spans="1:15" ht="18" customHeight="1" x14ac:dyDescent="0.2">
      <c r="A12" s="39" t="s">
        <v>11</v>
      </c>
      <c r="B12" s="68">
        <f>[1]Check!$H$29</f>
        <v>200706.31299999999</v>
      </c>
      <c r="C12" s="40">
        <f>IF(B12=0,0,B12/$B$13)</f>
        <v>0.77617365008456762</v>
      </c>
      <c r="D12" s="68">
        <f>[1]Check!$H$30</f>
        <v>63034.919000000002</v>
      </c>
      <c r="E12" s="40">
        <f>IF(D12=0,0,D12/$D$13)</f>
        <v>0.31683260059302221</v>
      </c>
      <c r="F12" s="68">
        <f>[1]Check!$H$31</f>
        <v>8499.4189999999999</v>
      </c>
      <c r="G12" s="40">
        <f>IF(F12=0,0,F12/$F$13)</f>
        <v>9.6089566753287711E-2</v>
      </c>
      <c r="H12" s="102">
        <f>IF(B12+D12+F12=0,0,B12+D12+F12)</f>
        <v>272240.65100000001</v>
      </c>
      <c r="I12" s="40">
        <f>IF(H12=0,0,H12/$H$13)</f>
        <v>0.49861768266861556</v>
      </c>
    </row>
    <row r="13" spans="1:15" ht="18" customHeight="1" x14ac:dyDescent="0.2">
      <c r="A13" s="107" t="s">
        <v>6</v>
      </c>
      <c r="B13" s="42">
        <f>SUM(B11:B12)</f>
        <v>258584.29099999997</v>
      </c>
      <c r="C13" s="43"/>
      <c r="D13" s="42">
        <f>SUM(D11:D12)</f>
        <v>198953.38700000008</v>
      </c>
      <c r="E13" s="43"/>
      <c r="F13" s="42">
        <f>SUM(F11:F12)</f>
        <v>88453.089000000007</v>
      </c>
      <c r="G13" s="43"/>
      <c r="H13" s="42">
        <f>IF(H11+H12=0,0,H11+H12)</f>
        <v>545990.76699999999</v>
      </c>
      <c r="I13" s="44"/>
    </row>
    <row r="14" spans="1:15" ht="18" customHeight="1" x14ac:dyDescent="0.2">
      <c r="A14" s="99" t="str">
        <f>"As the above table shows, "&amp;TEXT(H11,"0,000")&amp; " MWh, or "&amp;TEXT(I11,"0.0%")&amp;" of UI's total load is served by electric suppliers"</f>
        <v>As the above table shows, 273,750 MWh, or 50.1% of UI's total load is served by electric suppliers</v>
      </c>
      <c r="H14" s="27"/>
      <c r="L14" s="101"/>
      <c r="M14" s="101"/>
      <c r="O14" s="101"/>
    </row>
    <row r="15" spans="1:15" ht="18" customHeight="1" x14ac:dyDescent="0.25">
      <c r="A15" s="99" t="str">
        <f>"while "&amp;TEXT(H12,"0,000")&amp;" MHh, or "&amp;TEXT(I12,"0.0%")&amp;" of the load is provided under Standard Service or Last Resort service through UI."</f>
        <v>while 272,241 MHh, or 49.9% of the load is provided under Standard Service or Last Resort service through UI.</v>
      </c>
      <c r="B15" s="46"/>
      <c r="C15" s="47"/>
      <c r="D15" s="46"/>
      <c r="E15" s="47"/>
      <c r="F15" s="48"/>
      <c r="G15" s="49"/>
      <c r="H15" s="27"/>
    </row>
    <row r="16" spans="1:15" ht="15" x14ac:dyDescent="0.25">
      <c r="G16" s="49"/>
      <c r="H16" s="27"/>
    </row>
    <row r="17" spans="1:17" ht="18" customHeight="1" x14ac:dyDescent="0.2">
      <c r="A17" s="28" t="s">
        <v>28</v>
      </c>
      <c r="B17" s="29"/>
      <c r="C17" s="29"/>
      <c r="D17" s="29"/>
      <c r="E17" s="29"/>
      <c r="F17" s="29"/>
      <c r="G17" s="50"/>
      <c r="H17" s="24"/>
      <c r="I17" s="25"/>
    </row>
    <row r="18" spans="1:17" ht="18" customHeight="1" x14ac:dyDescent="0.25">
      <c r="A18" s="39"/>
      <c r="B18" s="31" t="s">
        <v>30</v>
      </c>
      <c r="C18" s="51"/>
      <c r="D18" s="31" t="s">
        <v>7</v>
      </c>
      <c r="E18" s="52"/>
      <c r="F18" s="31" t="s">
        <v>8</v>
      </c>
      <c r="G18" s="34"/>
      <c r="H18" s="31" t="s">
        <v>32</v>
      </c>
      <c r="I18" s="33"/>
      <c r="O18" s="100"/>
    </row>
    <row r="19" spans="1:17" ht="18" customHeight="1" x14ac:dyDescent="0.2">
      <c r="A19" s="36"/>
      <c r="B19" s="37" t="s">
        <v>13</v>
      </c>
      <c r="C19" s="38" t="s">
        <v>19</v>
      </c>
      <c r="D19" s="37" t="str">
        <f>B19</f>
        <v>Customers</v>
      </c>
      <c r="E19" s="38" t="s">
        <v>19</v>
      </c>
      <c r="F19" s="37" t="str">
        <f>D19</f>
        <v>Customers</v>
      </c>
      <c r="G19" s="38" t="s">
        <v>19</v>
      </c>
      <c r="H19" s="37" t="str">
        <f>F19</f>
        <v>Customers</v>
      </c>
      <c r="I19" s="38" t="s">
        <v>18</v>
      </c>
    </row>
    <row r="20" spans="1:17" ht="18" customHeight="1" x14ac:dyDescent="0.2">
      <c r="A20" s="39" t="str">
        <f>A11</f>
        <v>Suppliers</v>
      </c>
      <c r="B20" s="69">
        <f>[2]Summary!$B$18</f>
        <v>62280</v>
      </c>
      <c r="C20" s="40">
        <f>IF(B20=0,0,B20/$B$22)</f>
        <v>0.20304038964976512</v>
      </c>
      <c r="D20" s="68">
        <f>[2]Summary!$B$19</f>
        <v>18829</v>
      </c>
      <c r="E20" s="53">
        <f>IF(D20=0,0,D20/$D$22)</f>
        <v>0.4915033020961132</v>
      </c>
      <c r="F20" s="68">
        <f>[2]Summary!$B$20</f>
        <v>184</v>
      </c>
      <c r="G20" s="40">
        <f>IF(F20=0,0,F20/$F$22)</f>
        <v>0.87619047619047619</v>
      </c>
      <c r="H20" s="41">
        <f>IF(B20+D20+F20=0,0,B20+D20+F20)</f>
        <v>81293</v>
      </c>
      <c r="I20" s="40">
        <f>IF(H20=0,0,H20/$H$22)</f>
        <v>0.23545716801445885</v>
      </c>
      <c r="J20" s="54"/>
      <c r="K20" s="54"/>
      <c r="M20" s="101"/>
    </row>
    <row r="21" spans="1:17" ht="18" customHeight="1" x14ac:dyDescent="0.2">
      <c r="A21" s="39" t="str">
        <f>A12</f>
        <v>UI</v>
      </c>
      <c r="B21" s="69">
        <f>[2]Summary!$B$22</f>
        <v>244457</v>
      </c>
      <c r="C21" s="40">
        <f>IF(B21=0,0,B21/$B$22)</f>
        <v>0.79695961035023488</v>
      </c>
      <c r="D21" s="69">
        <f>[2]Summary!$B$23</f>
        <v>19480</v>
      </c>
      <c r="E21" s="53">
        <f>IF(D21=0,0,D21/$D$22)</f>
        <v>0.50849669790388685</v>
      </c>
      <c r="F21" s="69">
        <f>[2]Summary!$B$24</f>
        <v>26</v>
      </c>
      <c r="G21" s="40">
        <f>IF(F21=0,0,F21/$F$22)</f>
        <v>0.12380952380952381</v>
      </c>
      <c r="H21" s="69">
        <f>IF(B21+D21+F21=0,0,B21+D21+F21)</f>
        <v>263963</v>
      </c>
      <c r="I21" s="40">
        <f>IF(H21=0,0,H21/$H$22)</f>
        <v>0.76454283198554118</v>
      </c>
    </row>
    <row r="22" spans="1:17" ht="18" customHeight="1" x14ac:dyDescent="0.2">
      <c r="A22" s="39" t="str">
        <f>A13</f>
        <v>Total</v>
      </c>
      <c r="B22" s="42">
        <f>SUM(B20:B21)</f>
        <v>306737</v>
      </c>
      <c r="C22" s="55"/>
      <c r="D22" s="42">
        <f>SUM(D20:D21)</f>
        <v>38309</v>
      </c>
      <c r="E22" s="43"/>
      <c r="F22" s="42">
        <f>SUM(F20:F21)</f>
        <v>210</v>
      </c>
      <c r="G22" s="43"/>
      <c r="H22" s="42">
        <f>IF(H20+H21=0,0,H20+H21)</f>
        <v>345256</v>
      </c>
      <c r="I22" s="44"/>
      <c r="N22" s="101"/>
      <c r="Q22" s="101"/>
    </row>
    <row r="23" spans="1:17" ht="18" customHeight="1" x14ac:dyDescent="0.25">
      <c r="G23" s="49"/>
      <c r="H23" s="27"/>
    </row>
    <row r="24" spans="1:17" ht="18" customHeight="1" x14ac:dyDescent="0.25">
      <c r="A24" s="99" t="str">
        <f>"As the above table shows, "&amp;TEXT(H20,"0,000")&amp; " of UI's total customers, or "&amp;TEXT(I20,"0.0%")&amp;" are served by electric suppliers"</f>
        <v>As the above table shows, 81,293 of UI's total customers, or 23.5% are served by electric suppliers</v>
      </c>
      <c r="G24" s="49"/>
      <c r="H24" s="27"/>
      <c r="J24" s="101"/>
    </row>
    <row r="25" spans="1:17" ht="18" customHeight="1" x14ac:dyDescent="0.25">
      <c r="A25" s="99" t="str">
        <f>"while "&amp;TEXT(H21,"0,000")&amp;" or "&amp;TEXT(I21,"0.0%")&amp;" of the customers continue to receive Standard Service or Last Resort service through UI."</f>
        <v>while 263,963 or 76.5% of the customers continue to receive Standard Service or Last Resort service through UI.</v>
      </c>
      <c r="B25" s="56"/>
      <c r="C25" s="56"/>
      <c r="D25" s="56"/>
      <c r="E25" s="56"/>
      <c r="F25" s="57"/>
      <c r="G25" s="58"/>
      <c r="H25" s="27"/>
    </row>
    <row r="26" spans="1:17" ht="18" customHeight="1" x14ac:dyDescent="0.25">
      <c r="B26" s="27"/>
      <c r="C26" s="27"/>
      <c r="D26" s="58"/>
      <c r="E26" s="58"/>
      <c r="F26" s="59"/>
      <c r="G26" s="59"/>
      <c r="H26" s="27"/>
    </row>
    <row r="28" spans="1:17" ht="13.5" x14ac:dyDescent="0.2">
      <c r="A28" s="66" t="s">
        <v>27</v>
      </c>
      <c r="I28" s="101"/>
    </row>
    <row r="29" spans="1:17" ht="13.5" x14ac:dyDescent="0.2">
      <c r="A29" s="66" t="s">
        <v>31</v>
      </c>
    </row>
    <row r="30" spans="1:17" ht="13.5" x14ac:dyDescent="0.2">
      <c r="A30" s="66" t="s">
        <v>49</v>
      </c>
    </row>
    <row r="31" spans="1:17" x14ac:dyDescent="0.2">
      <c r="A31" s="67" t="s">
        <v>17</v>
      </c>
    </row>
    <row r="32" spans="1:17" x14ac:dyDescent="0.2">
      <c r="A32" s="67" t="s">
        <v>23</v>
      </c>
    </row>
    <row r="36" spans="1:1" x14ac:dyDescent="0.2">
      <c r="A36" s="101"/>
    </row>
  </sheetData>
  <phoneticPr fontId="0" type="noConversion"/>
  <printOptions horizontalCentered="1"/>
  <pageMargins left="0.75" right="0.5" top="0.5" bottom="0.25" header="0.5" footer="0"/>
  <pageSetup scale="76" orientation="portrait" r:id="rId1"/>
  <headerFooter alignWithMargins="0">
    <oddHeader xml:space="preserve">&amp;RPage 2 of 4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49"/>
  <sheetViews>
    <sheetView showGridLines="0" showZeros="0" zoomScaleNormal="100" workbookViewId="0">
      <selection activeCell="F45" sqref="F45"/>
    </sheetView>
  </sheetViews>
  <sheetFormatPr defaultColWidth="9.140625" defaultRowHeight="12.75" x14ac:dyDescent="0.2"/>
  <cols>
    <col min="1" max="1" width="4.42578125" style="1" customWidth="1"/>
    <col min="2" max="2" width="40.28515625" style="1" customWidth="1"/>
    <col min="3" max="3" width="14.28515625" style="1" customWidth="1"/>
    <col min="4" max="4" width="13.7109375" style="1" customWidth="1"/>
    <col min="5" max="5" width="11.7109375" style="1" customWidth="1"/>
    <col min="6" max="6" width="16.85546875" style="1" customWidth="1"/>
    <col min="7" max="11" width="9.140625" style="1"/>
    <col min="12" max="16384" width="9.140625" style="2"/>
  </cols>
  <sheetData>
    <row r="1" spans="1:11" s="8" customFormat="1" ht="18" customHeight="1" x14ac:dyDescent="0.2">
      <c r="A1" s="12" t="str">
        <f>'Summary Load Customers '!A1</f>
        <v>The United Illuminating Company</v>
      </c>
      <c r="B1" s="13"/>
      <c r="C1" s="13"/>
      <c r="D1" s="13"/>
      <c r="E1" s="13"/>
      <c r="F1" s="6"/>
      <c r="G1" s="7"/>
      <c r="H1" s="7"/>
      <c r="I1" s="7"/>
      <c r="J1" s="7"/>
      <c r="K1" s="7"/>
    </row>
    <row r="2" spans="1:11" s="8" customFormat="1" ht="18" customHeight="1" x14ac:dyDescent="0.2">
      <c r="A2" s="125" t="s">
        <v>55</v>
      </c>
      <c r="B2" s="125"/>
      <c r="C2" s="125"/>
      <c r="D2" s="125"/>
      <c r="E2" s="125"/>
      <c r="F2" s="125"/>
      <c r="G2" s="24"/>
      <c r="H2" s="25"/>
      <c r="I2" s="25"/>
    </row>
    <row r="3" spans="1:11" s="8" customFormat="1" ht="18" customHeight="1" x14ac:dyDescent="0.2">
      <c r="A3" s="12" t="s">
        <v>87</v>
      </c>
      <c r="B3" s="13"/>
      <c r="C3" s="13"/>
      <c r="D3" s="13"/>
      <c r="E3" s="13"/>
      <c r="F3" s="6"/>
      <c r="G3" s="7"/>
      <c r="H3" s="7"/>
      <c r="I3" s="7"/>
      <c r="J3" s="7"/>
      <c r="K3" s="7"/>
    </row>
    <row r="4" spans="1:11" s="8" customFormat="1" ht="18" customHeight="1" x14ac:dyDescent="0.2">
      <c r="A4" s="12" t="s">
        <v>1</v>
      </c>
      <c r="B4" s="13"/>
      <c r="C4" s="13"/>
      <c r="D4" s="13"/>
      <c r="E4" s="13"/>
      <c r="F4" s="6"/>
      <c r="G4" s="7"/>
      <c r="H4" s="7"/>
      <c r="I4" s="7"/>
      <c r="J4" s="7"/>
      <c r="K4" s="7"/>
    </row>
    <row r="5" spans="1:11" s="8" customFormat="1" ht="18" customHeight="1" x14ac:dyDescent="0.2">
      <c r="A5" s="9" t="str">
        <f>'Summary Load Customers '!A6</f>
        <v>Data as of August 31, 2021</v>
      </c>
      <c r="B5" s="13"/>
      <c r="C5" s="13"/>
      <c r="D5" s="13"/>
      <c r="E5" s="13"/>
      <c r="F5" s="14"/>
      <c r="G5" s="7"/>
      <c r="H5" s="7"/>
      <c r="I5" s="7"/>
      <c r="J5" s="7"/>
      <c r="K5" s="7"/>
    </row>
    <row r="6" spans="1:11" ht="9" customHeight="1" x14ac:dyDescent="0.2">
      <c r="A6" s="15"/>
      <c r="B6" s="5"/>
      <c r="C6" s="16"/>
      <c r="D6" s="16"/>
      <c r="E6" s="10"/>
      <c r="F6" s="10"/>
    </row>
    <row r="7" spans="1:11" s="8" customFormat="1" ht="18" customHeight="1" x14ac:dyDescent="0.2">
      <c r="A7" s="17"/>
      <c r="B7" s="18"/>
      <c r="C7" s="3" t="s">
        <v>2</v>
      </c>
      <c r="D7" s="11"/>
      <c r="E7" s="11"/>
      <c r="F7" s="19"/>
      <c r="G7" s="7"/>
      <c r="H7" s="7"/>
      <c r="I7" s="7"/>
      <c r="J7" s="7"/>
      <c r="K7" s="7"/>
    </row>
    <row r="8" spans="1:11" ht="25.5" x14ac:dyDescent="0.2">
      <c r="A8" s="20"/>
      <c r="B8" s="4" t="s">
        <v>3</v>
      </c>
      <c r="C8" s="4" t="s">
        <v>4</v>
      </c>
      <c r="D8" s="4" t="s">
        <v>5</v>
      </c>
      <c r="E8" s="4" t="s">
        <v>6</v>
      </c>
      <c r="F8" s="4" t="s">
        <v>24</v>
      </c>
    </row>
    <row r="9" spans="1:11" ht="14.25" customHeight="1" x14ac:dyDescent="0.2">
      <c r="A9" s="105">
        <v>1</v>
      </c>
      <c r="B9" t="s">
        <v>50</v>
      </c>
      <c r="C9" s="112">
        <v>4230</v>
      </c>
      <c r="D9" s="113">
        <v>605</v>
      </c>
      <c r="E9" s="114">
        <v>4835</v>
      </c>
      <c r="F9" s="21">
        <f t="shared" ref="F9:F44" si="0">IF(E9=0,"",E9/$E$45)</f>
        <v>5.9137220367176703E-2</v>
      </c>
    </row>
    <row r="10" spans="1:11" ht="14.25" customHeight="1" x14ac:dyDescent="0.2">
      <c r="A10" s="105">
        <v>2</v>
      </c>
      <c r="B10" t="s">
        <v>58</v>
      </c>
      <c r="C10" s="115">
        <v>23</v>
      </c>
      <c r="D10" s="111">
        <v>2634</v>
      </c>
      <c r="E10" s="116">
        <v>2657</v>
      </c>
      <c r="F10" s="21">
        <f t="shared" si="0"/>
        <v>3.2497951295881802E-2</v>
      </c>
    </row>
    <row r="11" spans="1:11" ht="14.25" customHeight="1" x14ac:dyDescent="0.2">
      <c r="A11" s="105">
        <v>3</v>
      </c>
      <c r="B11" t="s">
        <v>59</v>
      </c>
      <c r="C11" s="115">
        <v>15</v>
      </c>
      <c r="D11" s="111">
        <v>185</v>
      </c>
      <c r="E11" s="116">
        <v>200</v>
      </c>
      <c r="F11" s="21">
        <f t="shared" si="0"/>
        <v>2.4462138724788709E-3</v>
      </c>
    </row>
    <row r="12" spans="1:11" ht="14.25" customHeight="1" x14ac:dyDescent="0.2">
      <c r="A12" s="105">
        <v>4</v>
      </c>
      <c r="B12" t="s">
        <v>60</v>
      </c>
      <c r="C12" s="115">
        <v>354</v>
      </c>
      <c r="D12" s="111">
        <v>8</v>
      </c>
      <c r="E12" s="116">
        <v>362</v>
      </c>
      <c r="F12" s="21">
        <f t="shared" si="0"/>
        <v>4.4276471091867558E-3</v>
      </c>
    </row>
    <row r="13" spans="1:11" ht="14.25" customHeight="1" x14ac:dyDescent="0.2">
      <c r="A13" s="105">
        <v>5</v>
      </c>
      <c r="B13" t="s">
        <v>61</v>
      </c>
      <c r="C13" s="115">
        <v>4735</v>
      </c>
      <c r="D13" s="111">
        <v>195</v>
      </c>
      <c r="E13" s="116">
        <v>4930</v>
      </c>
      <c r="F13" s="21">
        <f t="shared" si="0"/>
        <v>6.0299171956604163E-2</v>
      </c>
    </row>
    <row r="14" spans="1:11" ht="14.25" customHeight="1" x14ac:dyDescent="0.2">
      <c r="A14" s="105">
        <v>6</v>
      </c>
      <c r="B14" t="s">
        <v>62</v>
      </c>
      <c r="C14" s="115">
        <v>302</v>
      </c>
      <c r="D14" s="111">
        <v>59</v>
      </c>
      <c r="E14" s="116">
        <v>361</v>
      </c>
      <c r="F14" s="21">
        <f t="shared" si="0"/>
        <v>4.4154160398243618E-3</v>
      </c>
    </row>
    <row r="15" spans="1:11" ht="14.25" customHeight="1" x14ac:dyDescent="0.2">
      <c r="A15" s="105">
        <v>7</v>
      </c>
      <c r="B15" t="s">
        <v>63</v>
      </c>
      <c r="C15" s="115">
        <v>824</v>
      </c>
      <c r="D15" s="111">
        <v>4868</v>
      </c>
      <c r="E15" s="116">
        <v>5692</v>
      </c>
      <c r="F15" s="21">
        <f t="shared" si="0"/>
        <v>6.9619246810748658E-2</v>
      </c>
    </row>
    <row r="16" spans="1:11" ht="14.25" customHeight="1" x14ac:dyDescent="0.2">
      <c r="A16" s="105">
        <v>8</v>
      </c>
      <c r="B16" t="s">
        <v>64</v>
      </c>
      <c r="C16" s="115">
        <v>9876</v>
      </c>
      <c r="D16" s="111">
        <v>1389</v>
      </c>
      <c r="E16" s="116">
        <v>11265</v>
      </c>
      <c r="F16" s="21">
        <f t="shared" si="0"/>
        <v>0.1377829963673724</v>
      </c>
    </row>
    <row r="17" spans="1:6" ht="14.25" customHeight="1" x14ac:dyDescent="0.2">
      <c r="A17" s="105">
        <v>9</v>
      </c>
      <c r="B17" t="s">
        <v>56</v>
      </c>
      <c r="C17" s="115">
        <v>207</v>
      </c>
      <c r="D17" s="111">
        <v>2121</v>
      </c>
      <c r="E17" s="116">
        <v>2328</v>
      </c>
      <c r="F17" s="21">
        <f t="shared" si="0"/>
        <v>2.8473929475654056E-2</v>
      </c>
    </row>
    <row r="18" spans="1:6" ht="14.25" customHeight="1" x14ac:dyDescent="0.2">
      <c r="A18" s="105">
        <v>10</v>
      </c>
      <c r="B18" t="s">
        <v>65</v>
      </c>
      <c r="C18" s="115">
        <v>4437</v>
      </c>
      <c r="D18" s="111">
        <v>1295</v>
      </c>
      <c r="E18" s="116">
        <v>5732</v>
      </c>
      <c r="F18" s="21">
        <f t="shared" si="0"/>
        <v>7.0108489585244432E-2</v>
      </c>
    </row>
    <row r="19" spans="1:6" ht="14.25" customHeight="1" x14ac:dyDescent="0.2">
      <c r="A19" s="105">
        <v>11</v>
      </c>
      <c r="B19" t="s">
        <v>66</v>
      </c>
      <c r="C19" s="115">
        <v>1531</v>
      </c>
      <c r="D19" s="111">
        <v>336</v>
      </c>
      <c r="E19" s="116">
        <v>1867</v>
      </c>
      <c r="F19" s="21">
        <f t="shared" si="0"/>
        <v>2.2835406499590261E-2</v>
      </c>
    </row>
    <row r="20" spans="1:6" ht="14.25" customHeight="1" x14ac:dyDescent="0.2">
      <c r="A20" s="105">
        <v>12</v>
      </c>
      <c r="B20" t="s">
        <v>89</v>
      </c>
      <c r="C20" s="115">
        <v>495</v>
      </c>
      <c r="D20" s="111">
        <v>291</v>
      </c>
      <c r="E20" s="116">
        <v>786</v>
      </c>
      <c r="F20" s="21">
        <f t="shared" si="0"/>
        <v>9.6136205188419623E-3</v>
      </c>
    </row>
    <row r="21" spans="1:6" ht="14.25" customHeight="1" x14ac:dyDescent="0.2">
      <c r="A21" s="105">
        <v>13</v>
      </c>
      <c r="B21" t="s">
        <v>67</v>
      </c>
      <c r="C21" s="115">
        <v>16</v>
      </c>
      <c r="D21" s="111">
        <v>135</v>
      </c>
      <c r="E21" s="116">
        <v>151</v>
      </c>
      <c r="F21" s="21">
        <f t="shared" si="0"/>
        <v>1.8468914737215475E-3</v>
      </c>
    </row>
    <row r="22" spans="1:6" ht="14.25" customHeight="1" x14ac:dyDescent="0.2">
      <c r="A22" s="105">
        <v>14</v>
      </c>
      <c r="B22" t="s">
        <v>68</v>
      </c>
      <c r="C22" s="115">
        <v>304</v>
      </c>
      <c r="D22" s="111">
        <v>73</v>
      </c>
      <c r="E22" s="116">
        <v>377</v>
      </c>
      <c r="F22" s="21">
        <f t="shared" si="0"/>
        <v>4.6111131496226719E-3</v>
      </c>
    </row>
    <row r="23" spans="1:6" ht="14.25" customHeight="1" x14ac:dyDescent="0.2">
      <c r="A23" s="105">
        <v>15</v>
      </c>
      <c r="B23" t="s">
        <v>69</v>
      </c>
      <c r="C23" s="115">
        <v>25</v>
      </c>
      <c r="D23" s="111"/>
      <c r="E23" s="116">
        <v>25</v>
      </c>
      <c r="F23" s="21">
        <f t="shared" si="0"/>
        <v>3.0577673405985886E-4</v>
      </c>
    </row>
    <row r="24" spans="1:6" ht="14.25" customHeight="1" x14ac:dyDescent="0.2">
      <c r="A24" s="105">
        <v>16</v>
      </c>
      <c r="B24" t="s">
        <v>70</v>
      </c>
      <c r="C24" s="115">
        <v>702</v>
      </c>
      <c r="D24" s="111">
        <v>1187</v>
      </c>
      <c r="E24" s="116">
        <v>1889</v>
      </c>
      <c r="F24" s="21">
        <f t="shared" si="0"/>
        <v>2.3104490025562936E-2</v>
      </c>
    </row>
    <row r="25" spans="1:6" ht="14.25" customHeight="1" x14ac:dyDescent="0.2">
      <c r="A25" s="105">
        <v>17</v>
      </c>
      <c r="B25" t="s">
        <v>71</v>
      </c>
      <c r="C25" s="115">
        <v>90</v>
      </c>
      <c r="D25" s="111">
        <v>135</v>
      </c>
      <c r="E25" s="116">
        <v>225</v>
      </c>
      <c r="F25" s="21">
        <f t="shared" si="0"/>
        <v>2.7519906065387296E-3</v>
      </c>
    </row>
    <row r="26" spans="1:6" ht="14.25" customHeight="1" x14ac:dyDescent="0.2">
      <c r="A26" s="105">
        <v>18</v>
      </c>
      <c r="B26" t="s">
        <v>12</v>
      </c>
      <c r="C26" s="115">
        <v>5339</v>
      </c>
      <c r="D26" s="111">
        <v>675</v>
      </c>
      <c r="E26" s="116">
        <v>6014</v>
      </c>
      <c r="F26" s="21">
        <f t="shared" si="0"/>
        <v>7.3557651145439648E-2</v>
      </c>
    </row>
    <row r="27" spans="1:6" ht="14.25" customHeight="1" x14ac:dyDescent="0.2">
      <c r="A27" s="105">
        <v>19</v>
      </c>
      <c r="B27" t="s">
        <v>72</v>
      </c>
      <c r="C27" s="115">
        <v>1734</v>
      </c>
      <c r="D27" s="111">
        <v>61</v>
      </c>
      <c r="E27" s="116">
        <v>1795</v>
      </c>
      <c r="F27" s="21">
        <f t="shared" si="0"/>
        <v>2.1954769505497865E-2</v>
      </c>
    </row>
    <row r="28" spans="1:6" ht="14.25" customHeight="1" x14ac:dyDescent="0.2">
      <c r="A28" s="105">
        <v>20</v>
      </c>
      <c r="B28" t="s">
        <v>73</v>
      </c>
      <c r="C28" s="115">
        <v>91</v>
      </c>
      <c r="D28" s="111">
        <v>150</v>
      </c>
      <c r="E28" s="116">
        <v>241</v>
      </c>
      <c r="F28" s="21">
        <f t="shared" si="0"/>
        <v>2.9476877163370392E-3</v>
      </c>
    </row>
    <row r="29" spans="1:6" ht="14.25" customHeight="1" x14ac:dyDescent="0.2">
      <c r="A29" s="105">
        <v>21</v>
      </c>
      <c r="B29" t="s">
        <v>91</v>
      </c>
      <c r="C29" s="115">
        <v>51</v>
      </c>
      <c r="D29" s="111"/>
      <c r="E29" s="116">
        <v>51</v>
      </c>
      <c r="F29" s="21">
        <f t="shared" si="0"/>
        <v>6.2378453748211204E-4</v>
      </c>
    </row>
    <row r="30" spans="1:6" ht="14.25" customHeight="1" x14ac:dyDescent="0.2">
      <c r="A30" s="105">
        <v>22</v>
      </c>
      <c r="B30" t="s">
        <v>74</v>
      </c>
      <c r="C30" s="115">
        <v>63</v>
      </c>
      <c r="D30" s="111">
        <v>398</v>
      </c>
      <c r="E30" s="116">
        <v>461</v>
      </c>
      <c r="F30" s="21">
        <f t="shared" si="0"/>
        <v>5.6385229760637975E-3</v>
      </c>
    </row>
    <row r="31" spans="1:6" ht="14.25" customHeight="1" x14ac:dyDescent="0.2">
      <c r="A31" s="105">
        <v>23</v>
      </c>
      <c r="B31" t="s">
        <v>75</v>
      </c>
      <c r="C31" s="115">
        <v>4504</v>
      </c>
      <c r="D31" s="111">
        <v>145</v>
      </c>
      <c r="E31" s="116">
        <v>4649</v>
      </c>
      <c r="F31" s="21">
        <f t="shared" si="0"/>
        <v>5.6862241465771353E-2</v>
      </c>
    </row>
    <row r="32" spans="1:6" ht="14.25" customHeight="1" x14ac:dyDescent="0.2">
      <c r="A32" s="105">
        <v>24</v>
      </c>
      <c r="B32" t="s">
        <v>76</v>
      </c>
      <c r="C32" s="115">
        <v>683</v>
      </c>
      <c r="D32" s="111">
        <v>101</v>
      </c>
      <c r="E32" s="116">
        <v>784</v>
      </c>
      <c r="F32" s="21">
        <f t="shared" si="0"/>
        <v>9.5891583801171743E-3</v>
      </c>
    </row>
    <row r="33" spans="1:10" ht="14.25" customHeight="1" x14ac:dyDescent="0.2">
      <c r="A33" s="105">
        <v>25</v>
      </c>
      <c r="B33" t="s">
        <v>77</v>
      </c>
      <c r="C33" s="115">
        <v>2884</v>
      </c>
      <c r="D33" s="111">
        <v>677</v>
      </c>
      <c r="E33" s="116">
        <v>3561</v>
      </c>
      <c r="F33" s="21">
        <f t="shared" si="0"/>
        <v>4.3554837999486298E-2</v>
      </c>
    </row>
    <row r="34" spans="1:10" ht="14.25" customHeight="1" x14ac:dyDescent="0.2">
      <c r="A34" s="105">
        <v>26</v>
      </c>
      <c r="B34" t="s">
        <v>78</v>
      </c>
      <c r="C34" s="115">
        <v>50</v>
      </c>
      <c r="D34" s="111">
        <v>47</v>
      </c>
      <c r="E34" s="116">
        <v>97</v>
      </c>
      <c r="F34" s="21">
        <f t="shared" si="0"/>
        <v>1.1864137281522523E-3</v>
      </c>
    </row>
    <row r="35" spans="1:10" ht="14.25" customHeight="1" x14ac:dyDescent="0.2">
      <c r="A35" s="105">
        <v>27</v>
      </c>
      <c r="B35" t="s">
        <v>79</v>
      </c>
      <c r="C35" s="115">
        <v>2516</v>
      </c>
      <c r="D35" s="111">
        <v>276</v>
      </c>
      <c r="E35" s="116">
        <v>2792</v>
      </c>
      <c r="F35" s="21">
        <f t="shared" si="0"/>
        <v>3.4149145659805036E-2</v>
      </c>
    </row>
    <row r="36" spans="1:10" ht="14.25" customHeight="1" x14ac:dyDescent="0.2">
      <c r="A36" s="105">
        <v>28</v>
      </c>
      <c r="B36" t="s">
        <v>80</v>
      </c>
      <c r="C36" s="115">
        <v>649</v>
      </c>
      <c r="D36" s="111">
        <v>346</v>
      </c>
      <c r="E36" s="116">
        <v>995</v>
      </c>
      <c r="F36" s="21">
        <f t="shared" si="0"/>
        <v>1.2169914015582383E-2</v>
      </c>
    </row>
    <row r="37" spans="1:10" ht="14.25" customHeight="1" x14ac:dyDescent="0.2">
      <c r="A37" s="105">
        <v>29</v>
      </c>
      <c r="B37" t="s">
        <v>81</v>
      </c>
      <c r="C37" s="115"/>
      <c r="D37" s="111">
        <v>11</v>
      </c>
      <c r="E37" s="116">
        <v>11</v>
      </c>
      <c r="F37" s="21">
        <f t="shared" si="0"/>
        <v>1.3454176298633789E-4</v>
      </c>
    </row>
    <row r="38" spans="1:10" ht="14.25" customHeight="1" x14ac:dyDescent="0.2">
      <c r="A38" s="105">
        <v>30</v>
      </c>
      <c r="B38" t="s">
        <v>54</v>
      </c>
      <c r="C38" s="115">
        <v>105</v>
      </c>
      <c r="D38" s="111">
        <v>62</v>
      </c>
      <c r="E38" s="116">
        <v>167</v>
      </c>
      <c r="F38" s="21">
        <f t="shared" si="0"/>
        <v>2.0425885835198571E-3</v>
      </c>
    </row>
    <row r="39" spans="1:10" ht="14.25" customHeight="1" x14ac:dyDescent="0.2">
      <c r="A39" s="105">
        <v>31</v>
      </c>
      <c r="B39" t="s">
        <v>82</v>
      </c>
      <c r="C39" s="115">
        <v>10334</v>
      </c>
      <c r="D39" s="111">
        <v>268</v>
      </c>
      <c r="E39" s="116">
        <v>10602</v>
      </c>
      <c r="F39" s="21">
        <f t="shared" si="0"/>
        <v>0.12967379738010495</v>
      </c>
    </row>
    <row r="40" spans="1:10" ht="14.25" customHeight="1" x14ac:dyDescent="0.2">
      <c r="A40" s="105">
        <v>32</v>
      </c>
      <c r="B40" t="s">
        <v>83</v>
      </c>
      <c r="C40" s="115">
        <v>3215</v>
      </c>
      <c r="D40" s="111">
        <v>239</v>
      </c>
      <c r="E40" s="116">
        <v>3454</v>
      </c>
      <c r="F40" s="21">
        <f t="shared" si="0"/>
        <v>4.2246113577710097E-2</v>
      </c>
    </row>
    <row r="41" spans="1:10" ht="14.25" customHeight="1" x14ac:dyDescent="0.2">
      <c r="A41" s="105">
        <v>33</v>
      </c>
      <c r="B41" t="s">
        <v>84</v>
      </c>
      <c r="C41" s="115">
        <v>291</v>
      </c>
      <c r="D41" s="111">
        <v>57</v>
      </c>
      <c r="E41" s="116">
        <v>348</v>
      </c>
      <c r="F41" s="21">
        <f t="shared" si="0"/>
        <v>4.2564121381132355E-3</v>
      </c>
    </row>
    <row r="42" spans="1:10" ht="14.25" customHeight="1" x14ac:dyDescent="0.2">
      <c r="A42" s="105">
        <v>34</v>
      </c>
      <c r="B42" t="s">
        <v>86</v>
      </c>
      <c r="C42" s="115">
        <v>27</v>
      </c>
      <c r="D42" s="111">
        <v>16</v>
      </c>
      <c r="E42" s="116">
        <v>43</v>
      </c>
      <c r="F42" s="21">
        <f t="shared" si="0"/>
        <v>5.2593598258295722E-4</v>
      </c>
    </row>
    <row r="43" spans="1:10" ht="14.25" customHeight="1" x14ac:dyDescent="0.2">
      <c r="A43" s="105">
        <v>35</v>
      </c>
      <c r="B43" t="s">
        <v>85</v>
      </c>
      <c r="C43" s="115">
        <v>1578</v>
      </c>
      <c r="D43" s="111">
        <v>300</v>
      </c>
      <c r="E43" s="116">
        <v>1878</v>
      </c>
      <c r="F43" s="21">
        <f t="shared" si="0"/>
        <v>2.2969948262576596E-2</v>
      </c>
    </row>
    <row r="44" spans="1:10" ht="14.25" customHeight="1" x14ac:dyDescent="0.2">
      <c r="A44" s="105">
        <v>36</v>
      </c>
      <c r="B44" t="s">
        <v>88</v>
      </c>
      <c r="C44" s="115"/>
      <c r="D44" s="111">
        <v>134</v>
      </c>
      <c r="E44" s="116">
        <v>134</v>
      </c>
      <c r="F44" s="21">
        <f t="shared" si="0"/>
        <v>1.6389632945608434E-3</v>
      </c>
    </row>
    <row r="45" spans="1:10" x14ac:dyDescent="0.2">
      <c r="A45" s="105"/>
      <c r="B45" s="122" t="s">
        <v>57</v>
      </c>
      <c r="C45" s="123">
        <v>62280</v>
      </c>
      <c r="D45" s="117">
        <v>19479</v>
      </c>
      <c r="E45" s="118">
        <v>81759</v>
      </c>
      <c r="F45" s="21">
        <f>SUM(F9:F44)</f>
        <v>1.0000000000000004</v>
      </c>
      <c r="G45" s="108"/>
    </row>
    <row r="46" spans="1:10" x14ac:dyDescent="0.2">
      <c r="A46" s="106"/>
      <c r="B46" s="119"/>
      <c r="C46" s="120"/>
      <c r="D46" s="120"/>
      <c r="E46" s="120"/>
      <c r="F46" s="121"/>
      <c r="G46" s="108"/>
    </row>
    <row r="47" spans="1:10" x14ac:dyDescent="0.2">
      <c r="A47" s="1" t="s">
        <v>22</v>
      </c>
      <c r="B47" s="103"/>
    </row>
    <row r="48" spans="1:10" x14ac:dyDescent="0.2">
      <c r="A48" s="1" t="s">
        <v>21</v>
      </c>
      <c r="J48" s="104"/>
    </row>
    <row r="49" spans="1:1" x14ac:dyDescent="0.2">
      <c r="A49" s="1" t="s">
        <v>17</v>
      </c>
    </row>
  </sheetData>
  <sortState ref="B9:E44">
    <sortCondition ref="B8"/>
  </sortState>
  <mergeCells count="1">
    <mergeCell ref="A2:F2"/>
  </mergeCells>
  <phoneticPr fontId="0" type="noConversion"/>
  <printOptions horizontalCentered="1"/>
  <pageMargins left="0.75" right="0.5" top="0.5" bottom="0.25" header="0.5" footer="0"/>
  <pageSetup scale="64" orientation="portrait" r:id="rId1"/>
  <headerFooter alignWithMargins="0">
    <oddHeader xml:space="preserve">&amp;RPage 2 of 4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36"/>
  <sheetViews>
    <sheetView topLeftCell="A13" zoomScaleNormal="100" zoomScalePageLayoutView="70" workbookViewId="0">
      <selection activeCell="F37" sqref="F37"/>
    </sheetView>
  </sheetViews>
  <sheetFormatPr defaultColWidth="9.140625" defaultRowHeight="12.75" x14ac:dyDescent="0.2"/>
  <cols>
    <col min="1" max="1" width="18.140625" style="2" customWidth="1"/>
    <col min="2" max="2" width="14.28515625" style="2" customWidth="1"/>
    <col min="3" max="3" width="11.7109375" style="2" customWidth="1"/>
    <col min="4" max="4" width="14.28515625" style="2" customWidth="1"/>
    <col min="5" max="5" width="11.7109375" style="2" customWidth="1"/>
    <col min="6" max="6" width="14.28515625" style="2" customWidth="1"/>
    <col min="7" max="7" width="11.7109375" style="2" customWidth="1"/>
    <col min="8" max="8" width="7.7109375" style="2" customWidth="1"/>
    <col min="9" max="9" width="11.7109375" style="2" customWidth="1"/>
    <col min="10" max="16384" width="9.140625" style="2"/>
  </cols>
  <sheetData>
    <row r="1" spans="1:9" s="8" customFormat="1" ht="18" customHeight="1" x14ac:dyDescent="0.2">
      <c r="A1" s="22" t="s">
        <v>0</v>
      </c>
      <c r="B1" s="23"/>
      <c r="C1" s="23"/>
      <c r="D1" s="23"/>
      <c r="E1" s="23"/>
      <c r="F1" s="23"/>
      <c r="G1" s="24"/>
      <c r="H1" s="25"/>
      <c r="I1" s="25"/>
    </row>
    <row r="2" spans="1:9" s="8" customFormat="1" ht="18" customHeight="1" x14ac:dyDescent="0.2">
      <c r="A2" s="125" t="s">
        <v>55</v>
      </c>
      <c r="B2" s="125"/>
      <c r="C2" s="125"/>
      <c r="D2" s="125"/>
      <c r="E2" s="125"/>
      <c r="F2" s="125"/>
      <c r="G2" s="125"/>
      <c r="H2" s="125"/>
      <c r="I2" s="25"/>
    </row>
    <row r="3" spans="1:9" s="8" customFormat="1" ht="18" customHeight="1" x14ac:dyDescent="0.2">
      <c r="A3" s="22" t="s">
        <v>48</v>
      </c>
      <c r="B3" s="23"/>
      <c r="C3" s="23"/>
      <c r="D3" s="23"/>
      <c r="E3" s="23"/>
      <c r="F3" s="23"/>
      <c r="G3" s="24"/>
      <c r="H3" s="25"/>
      <c r="I3" s="25"/>
    </row>
    <row r="4" spans="1:9" s="8" customFormat="1" ht="18" customHeight="1" x14ac:dyDescent="0.2">
      <c r="A4" s="22" t="s">
        <v>47</v>
      </c>
      <c r="B4" s="23"/>
      <c r="C4" s="23"/>
      <c r="D4" s="23"/>
      <c r="E4" s="23"/>
      <c r="F4" s="23"/>
      <c r="G4" s="24"/>
      <c r="H4" s="25"/>
      <c r="I4" s="25"/>
    </row>
    <row r="5" spans="1:9" s="8" customFormat="1" ht="18" customHeight="1" x14ac:dyDescent="0.2">
      <c r="A5" s="26" t="s">
        <v>1</v>
      </c>
      <c r="B5" s="25"/>
      <c r="C5" s="25"/>
      <c r="D5" s="25"/>
      <c r="E5" s="25"/>
      <c r="F5" s="25"/>
      <c r="G5" s="25"/>
      <c r="H5" s="25"/>
      <c r="I5" s="25"/>
    </row>
    <row r="6" spans="1:9" s="8" customFormat="1" ht="18" customHeight="1" x14ac:dyDescent="0.2">
      <c r="A6" s="9" t="str">
        <f>'Summary Load Customers '!A6</f>
        <v>Data as of August 31, 2021</v>
      </c>
      <c r="B6" s="25"/>
      <c r="C6" s="25"/>
      <c r="D6" s="70"/>
      <c r="E6" s="70"/>
      <c r="F6" s="70"/>
      <c r="G6" s="25"/>
      <c r="H6" s="25"/>
      <c r="I6" s="25"/>
    </row>
    <row r="7" spans="1:9" ht="18" customHeight="1" x14ac:dyDescent="0.25">
      <c r="B7" s="27"/>
      <c r="C7" s="27"/>
      <c r="D7" s="58"/>
      <c r="E7" s="58"/>
      <c r="F7" s="59"/>
      <c r="G7" s="59"/>
      <c r="H7" s="27"/>
    </row>
    <row r="8" spans="1:9" ht="18" customHeight="1" x14ac:dyDescent="0.25">
      <c r="A8" s="60" t="s">
        <v>41</v>
      </c>
      <c r="B8" s="61"/>
      <c r="C8" s="61"/>
      <c r="D8" s="62"/>
      <c r="E8" s="62"/>
      <c r="F8" s="63"/>
      <c r="G8" s="63"/>
      <c r="H8" s="61"/>
      <c r="I8" s="64"/>
    </row>
    <row r="9" spans="1:9" ht="18" customHeight="1" x14ac:dyDescent="0.3">
      <c r="B9" s="27"/>
      <c r="C9" s="27"/>
      <c r="D9" s="58"/>
      <c r="E9" s="58"/>
      <c r="F9" s="65"/>
      <c r="G9" s="65"/>
      <c r="H9" s="27"/>
    </row>
    <row r="10" spans="1:9" ht="18" customHeight="1" x14ac:dyDescent="0.2">
      <c r="A10" s="28" t="s">
        <v>52</v>
      </c>
      <c r="B10" s="29"/>
      <c r="C10" s="29"/>
      <c r="D10" s="29"/>
      <c r="E10" s="29"/>
      <c r="F10" s="29"/>
      <c r="G10" s="50"/>
      <c r="H10" s="24"/>
      <c r="I10" s="25"/>
    </row>
    <row r="11" spans="1:9" ht="18" customHeight="1" x14ac:dyDescent="0.25">
      <c r="A11" s="39"/>
      <c r="B11" s="31" t="s">
        <v>4</v>
      </c>
      <c r="C11" s="51"/>
      <c r="D11" s="31" t="s">
        <v>25</v>
      </c>
      <c r="E11" s="52"/>
      <c r="F11" s="31" t="s">
        <v>32</v>
      </c>
      <c r="G11" s="33"/>
    </row>
    <row r="12" spans="1:9" ht="18" customHeight="1" x14ac:dyDescent="0.2">
      <c r="A12" s="36"/>
      <c r="B12" s="37" t="s">
        <v>13</v>
      </c>
      <c r="C12" s="38" t="s">
        <v>19</v>
      </c>
      <c r="D12" s="37" t="str">
        <f>B12</f>
        <v>Customers</v>
      </c>
      <c r="E12" s="38" t="s">
        <v>19</v>
      </c>
      <c r="F12" s="37" t="str">
        <f>B12</f>
        <v>Customers</v>
      </c>
      <c r="G12" s="38" t="s">
        <v>18</v>
      </c>
    </row>
    <row r="13" spans="1:9" ht="18" customHeight="1" x14ac:dyDescent="0.2">
      <c r="A13" s="39" t="s">
        <v>43</v>
      </c>
      <c r="B13" s="42">
        <f>REC_programs_detail!B23</f>
        <v>2811</v>
      </c>
      <c r="C13" s="43">
        <f>IF(B13=0,0,B13/'Summary Load Customers '!$B$22)</f>
        <v>9.1642025578916146E-3</v>
      </c>
      <c r="D13" s="42">
        <f>REC_programs_detail!C23</f>
        <v>30</v>
      </c>
      <c r="E13" s="43">
        <f>IF(D13=0,0,D13/('Summary Load Customers '!$D$22+'Summary Load Customers '!$F$22))</f>
        <v>7.7883641839092399E-4</v>
      </c>
      <c r="F13" s="42">
        <f>B13+D13</f>
        <v>2841</v>
      </c>
      <c r="G13" s="43">
        <f>IF(F13=0,0,F13/'Summary Load Customers '!$H$22)</f>
        <v>8.2286766920777622E-3</v>
      </c>
    </row>
    <row r="14" spans="1:9" ht="15.75" customHeight="1" x14ac:dyDescent="0.25">
      <c r="G14" s="49"/>
      <c r="H14" s="27"/>
    </row>
    <row r="15" spans="1:9" ht="15.75" customHeight="1" x14ac:dyDescent="0.25">
      <c r="A15" s="99" t="str">
        <f>"As the above table shows, "&amp;TEXT(F13,"0,000")&amp;" of UI's customers, or "&amp;TEXT(G13,"0.0%")&amp;" are participating in the CTCleanEnergyOptions Program."</f>
        <v>As the above table shows, 2,841 of UI's customers, or 0.8% are participating in the CTCleanEnergyOptions Program.</v>
      </c>
      <c r="G15" s="49"/>
      <c r="H15" s="27"/>
    </row>
    <row r="16" spans="1:9" ht="15.75" customHeight="1" x14ac:dyDescent="0.25">
      <c r="G16" s="49"/>
      <c r="H16" s="27"/>
    </row>
    <row r="17" spans="1:9" ht="18" customHeight="1" x14ac:dyDescent="0.2">
      <c r="A17" s="28" t="s">
        <v>42</v>
      </c>
      <c r="B17" s="29"/>
      <c r="C17" s="29"/>
      <c r="D17" s="29"/>
      <c r="E17" s="29"/>
      <c r="F17" s="29"/>
      <c r="G17" s="50"/>
      <c r="H17" s="24"/>
      <c r="I17" s="25"/>
    </row>
    <row r="18" spans="1:9" ht="18" customHeight="1" x14ac:dyDescent="0.25">
      <c r="A18" s="39"/>
      <c r="B18" s="31" t="s">
        <v>4</v>
      </c>
      <c r="C18" s="51"/>
      <c r="D18" s="31" t="s">
        <v>25</v>
      </c>
      <c r="E18" s="52"/>
      <c r="F18" s="31" t="s">
        <v>32</v>
      </c>
      <c r="G18" s="33"/>
    </row>
    <row r="19" spans="1:9" ht="18" customHeight="1" x14ac:dyDescent="0.2">
      <c r="A19" s="36"/>
      <c r="B19" s="37" t="s">
        <v>13</v>
      </c>
      <c r="C19" s="38" t="s">
        <v>19</v>
      </c>
      <c r="D19" s="37" t="str">
        <f>B19</f>
        <v>Customers</v>
      </c>
      <c r="E19" s="38" t="s">
        <v>19</v>
      </c>
      <c r="F19" s="37" t="str">
        <f>B19</f>
        <v>Customers</v>
      </c>
      <c r="G19" s="38" t="s">
        <v>18</v>
      </c>
    </row>
    <row r="20" spans="1:9" ht="18" customHeight="1" x14ac:dyDescent="0.2">
      <c r="A20" s="39" t="s">
        <v>44</v>
      </c>
      <c r="B20" s="42">
        <f>REC_programs_detail!B29</f>
        <v>537</v>
      </c>
      <c r="C20" s="43">
        <f>IF(B20=0,0,B20/'Summary Load Customers '!$B$22)</f>
        <v>1.7506854406217705E-3</v>
      </c>
      <c r="D20" s="42">
        <f>REC_programs_detail!C29</f>
        <v>55</v>
      </c>
      <c r="E20" s="43">
        <f>IF(D20=0,0,D20/('Summary Load Customers '!$D$22+'Summary Load Customers '!$F$22))</f>
        <v>1.4278667670500273E-3</v>
      </c>
      <c r="F20" s="42">
        <f>B20+D20</f>
        <v>592</v>
      </c>
      <c r="G20" s="43">
        <f>IF(F20=0,0,F20/'Summary Load Customers '!$H$22)</f>
        <v>1.7146696943717125E-3</v>
      </c>
    </row>
    <row r="21" spans="1:9" ht="18" customHeight="1" x14ac:dyDescent="0.2">
      <c r="B21" s="48"/>
      <c r="C21" s="47"/>
      <c r="D21" s="48"/>
      <c r="E21" s="47"/>
      <c r="F21" s="48"/>
      <c r="G21" s="47"/>
      <c r="H21" s="48"/>
      <c r="I21" s="47"/>
    </row>
    <row r="22" spans="1:9" ht="18" customHeight="1" x14ac:dyDescent="0.2">
      <c r="A22" s="99" t="str">
        <f>"As the above table shows, "&amp;TEXT(F20,"0,000")&amp;" of UI's customers, or "&amp;TEXT(G20,"0.0%")&amp;" are participating in the REC only program."</f>
        <v>As the above table shows, 0,592 of UI's customers, or 0.2% are participating in the REC only program.</v>
      </c>
      <c r="B22" s="48"/>
      <c r="C22" s="47"/>
      <c r="D22" s="48"/>
      <c r="E22" s="47"/>
      <c r="F22" s="48"/>
      <c r="G22" s="47"/>
      <c r="H22" s="48"/>
      <c r="I22" s="47"/>
    </row>
    <row r="23" spans="1:9" ht="14.25" x14ac:dyDescent="0.2">
      <c r="A23" s="45"/>
    </row>
    <row r="24" spans="1:9" ht="15" x14ac:dyDescent="0.2">
      <c r="A24" s="28" t="s">
        <v>46</v>
      </c>
      <c r="B24" s="29"/>
      <c r="C24" s="29"/>
      <c r="D24" s="29"/>
      <c r="E24" s="29"/>
      <c r="F24" s="29"/>
      <c r="G24" s="50"/>
      <c r="H24" s="24"/>
      <c r="I24" s="25"/>
    </row>
    <row r="25" spans="1:9" ht="15" x14ac:dyDescent="0.25">
      <c r="A25" s="39"/>
      <c r="B25" s="31" t="s">
        <v>4</v>
      </c>
      <c r="C25" s="51"/>
      <c r="D25" s="31" t="s">
        <v>25</v>
      </c>
      <c r="E25" s="52"/>
      <c r="F25" s="31" t="s">
        <v>32</v>
      </c>
      <c r="G25" s="33"/>
    </row>
    <row r="26" spans="1:9" ht="15" x14ac:dyDescent="0.2">
      <c r="A26" s="36"/>
      <c r="B26" s="37" t="s">
        <v>13</v>
      </c>
      <c r="C26" s="38" t="s">
        <v>19</v>
      </c>
      <c r="D26" s="37" t="str">
        <f>B26</f>
        <v>Customers</v>
      </c>
      <c r="E26" s="38" t="s">
        <v>19</v>
      </c>
      <c r="F26" s="37" t="str">
        <f>B26</f>
        <v>Customers</v>
      </c>
      <c r="G26" s="38" t="s">
        <v>18</v>
      </c>
    </row>
    <row r="27" spans="1:9" ht="14.25" x14ac:dyDescent="0.2">
      <c r="A27" s="39" t="s">
        <v>45</v>
      </c>
      <c r="B27" s="42">
        <f>B13+B20</f>
        <v>3348</v>
      </c>
      <c r="C27" s="43">
        <f>IF(B27=0,0,B27/'Summary Load Customers '!$B$22)</f>
        <v>1.0914887998513385E-2</v>
      </c>
      <c r="D27" s="42">
        <f>D13+D20</f>
        <v>85</v>
      </c>
      <c r="E27" s="43">
        <f>IF(D27=0,0,D27/('Summary Load Customers '!$D$22+'Summary Load Customers '!$F$22))</f>
        <v>2.2067031854409512E-3</v>
      </c>
      <c r="F27" s="42">
        <f>B27+D27</f>
        <v>3433</v>
      </c>
      <c r="G27" s="43">
        <f>IF(F27=0,0,F27/'Summary Load Customers '!$H$22)</f>
        <v>9.9433463864494753E-3</v>
      </c>
    </row>
    <row r="28" spans="1:9" ht="15" x14ac:dyDescent="0.25">
      <c r="G28" s="49"/>
      <c r="H28" s="27"/>
    </row>
    <row r="29" spans="1:9" ht="15" x14ac:dyDescent="0.25">
      <c r="A29" s="99" t="str">
        <f>"As the above table shows, "&amp;TEXT(F27,"0,000")&amp;" of UI's customers, or "&amp;TEXT(G27,"0.0%")&amp;" are participating in the combined REC programs."</f>
        <v>As the above table shows, 3,433 of UI's customers, or 1.0% are participating in the combined REC programs.</v>
      </c>
      <c r="G29" s="49"/>
      <c r="H29" s="27"/>
    </row>
    <row r="31" spans="1:9" ht="13.5" x14ac:dyDescent="0.2">
      <c r="A31" s="66" t="s">
        <v>31</v>
      </c>
    </row>
    <row r="32" spans="1:9" ht="13.5" x14ac:dyDescent="0.2">
      <c r="A32" s="66"/>
    </row>
    <row r="33" spans="1:1" ht="13.5" x14ac:dyDescent="0.2">
      <c r="A33" s="66" t="s">
        <v>53</v>
      </c>
    </row>
    <row r="34" spans="1:1" x14ac:dyDescent="0.2">
      <c r="A34" s="67" t="s">
        <v>51</v>
      </c>
    </row>
    <row r="36" spans="1:1" x14ac:dyDescent="0.2">
      <c r="A36" s="67" t="s">
        <v>17</v>
      </c>
    </row>
  </sheetData>
  <mergeCells count="1">
    <mergeCell ref="A2:H2"/>
  </mergeCells>
  <phoneticPr fontId="10" type="noConversion"/>
  <printOptions horizontalCentered="1"/>
  <pageMargins left="0.75" right="0.5" top="0.5" bottom="0.25" header="0.5" footer="0"/>
  <pageSetup scale="89" orientation="portrait" r:id="rId1"/>
  <headerFooter alignWithMargins="0">
    <oddHeader xml:space="preserve">&amp;RPage 2 of 4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42"/>
  <sheetViews>
    <sheetView showZeros="0" tabSelected="1" topLeftCell="A16" zoomScale="110" zoomScaleNormal="110" workbookViewId="0">
      <selection activeCell="D21" sqref="D21"/>
    </sheetView>
  </sheetViews>
  <sheetFormatPr defaultColWidth="9.140625" defaultRowHeight="11.25" x14ac:dyDescent="0.2"/>
  <cols>
    <col min="1" max="1" width="28" style="74" customWidth="1"/>
    <col min="2" max="3" width="19.140625" style="74" customWidth="1"/>
    <col min="4" max="4" width="20.28515625" style="74" customWidth="1"/>
    <col min="5" max="5" width="7.140625" style="74" customWidth="1"/>
    <col min="6" max="6" width="23.28515625" style="74" bestFit="1" customWidth="1"/>
    <col min="7" max="7" width="10.42578125" style="74" customWidth="1"/>
    <col min="8" max="16384" width="9.140625" style="74"/>
  </cols>
  <sheetData>
    <row r="1" spans="1:9" s="73" customFormat="1" ht="15" customHeight="1" x14ac:dyDescent="0.2">
      <c r="A1" s="126" t="str">
        <f>'Summary Load Customers '!A1</f>
        <v>The United Illuminating Company</v>
      </c>
      <c r="B1" s="126"/>
      <c r="C1" s="126"/>
      <c r="D1" s="126"/>
      <c r="E1" s="71"/>
      <c r="F1" s="71"/>
      <c r="G1" s="72"/>
    </row>
    <row r="2" spans="1:9" s="8" customFormat="1" ht="18" customHeight="1" x14ac:dyDescent="0.2">
      <c r="A2" s="127" t="s">
        <v>55</v>
      </c>
      <c r="B2" s="127"/>
      <c r="C2" s="127"/>
      <c r="D2" s="127"/>
      <c r="E2" s="23"/>
      <c r="F2" s="23"/>
      <c r="G2" s="24"/>
      <c r="H2" s="25"/>
      <c r="I2" s="25"/>
    </row>
    <row r="3" spans="1:9" s="73" customFormat="1" ht="15" customHeight="1" x14ac:dyDescent="0.2">
      <c r="A3" s="126" t="s">
        <v>34</v>
      </c>
      <c r="B3" s="126"/>
      <c r="C3" s="126"/>
      <c r="D3" s="126"/>
      <c r="E3" s="71"/>
      <c r="F3" s="71"/>
      <c r="G3" s="72"/>
    </row>
    <row r="4" spans="1:9" s="73" customFormat="1" ht="15" customHeight="1" x14ac:dyDescent="0.2">
      <c r="A4" s="126" t="s">
        <v>1</v>
      </c>
      <c r="B4" s="126"/>
      <c r="C4" s="126"/>
      <c r="D4" s="126"/>
      <c r="E4" s="71"/>
      <c r="F4" s="71"/>
      <c r="G4" s="72"/>
    </row>
    <row r="5" spans="1:9" s="73" customFormat="1" ht="15" customHeight="1" x14ac:dyDescent="0.2">
      <c r="A5" s="126" t="str">
        <f>'Summary Load Customers '!A6</f>
        <v>Data as of August 31, 2021</v>
      </c>
      <c r="B5" s="126"/>
      <c r="C5" s="126"/>
      <c r="D5" s="126"/>
      <c r="E5" s="71"/>
      <c r="F5" s="71"/>
      <c r="G5" s="72"/>
    </row>
    <row r="6" spans="1:9" x14ac:dyDescent="0.2">
      <c r="C6" s="75"/>
      <c r="D6" s="75"/>
      <c r="E6" s="75"/>
      <c r="F6" s="75"/>
      <c r="G6" s="75"/>
    </row>
    <row r="7" spans="1:9" s="81" customFormat="1" ht="22.5" x14ac:dyDescent="0.2">
      <c r="A7" s="76" t="s">
        <v>36</v>
      </c>
      <c r="B7" s="77" t="s">
        <v>4</v>
      </c>
      <c r="C7" s="76" t="s">
        <v>5</v>
      </c>
      <c r="D7" s="76" t="s">
        <v>32</v>
      </c>
      <c r="E7" s="78"/>
      <c r="F7" s="78"/>
      <c r="G7" s="79"/>
      <c r="H7" s="80"/>
    </row>
    <row r="8" spans="1:9" x14ac:dyDescent="0.2">
      <c r="A8" s="82" t="s">
        <v>35</v>
      </c>
      <c r="B8" s="83"/>
      <c r="C8" s="84"/>
      <c r="D8" s="85">
        <f>IF(C8=0,0,C8)</f>
        <v>0</v>
      </c>
      <c r="E8" s="75"/>
      <c r="F8" s="75"/>
      <c r="G8" s="86"/>
      <c r="H8" s="75"/>
    </row>
    <row r="9" spans="1:9" x14ac:dyDescent="0.2">
      <c r="A9" s="82" t="s">
        <v>14</v>
      </c>
      <c r="B9" s="84">
        <v>105</v>
      </c>
      <c r="C9" s="84">
        <v>2</v>
      </c>
      <c r="D9" s="85">
        <f>SUM(B9:C9)</f>
        <v>107</v>
      </c>
      <c r="E9" s="87"/>
      <c r="F9" s="87"/>
      <c r="G9" s="86"/>
      <c r="H9" s="75"/>
    </row>
    <row r="10" spans="1:9" x14ac:dyDescent="0.2">
      <c r="A10" s="82" t="s">
        <v>15</v>
      </c>
      <c r="B10" s="84">
        <v>2300</v>
      </c>
      <c r="C10" s="84">
        <v>27</v>
      </c>
      <c r="D10" s="85">
        <f>SUM(B10:C10)</f>
        <v>2327</v>
      </c>
      <c r="E10" s="88"/>
      <c r="F10" s="89"/>
      <c r="G10" s="86"/>
      <c r="H10" s="75"/>
    </row>
    <row r="11" spans="1:9" x14ac:dyDescent="0.2">
      <c r="A11" s="90" t="s">
        <v>6</v>
      </c>
      <c r="B11" s="91">
        <f>IF(B9+B10=0,0,B9+B10)</f>
        <v>2405</v>
      </c>
      <c r="C11" s="91">
        <f>IF(SUM(C8:C10)=0,0,SUM(C8:C10))</f>
        <v>29</v>
      </c>
      <c r="D11" s="91">
        <f>IF(SUM(D8:D10)=0,0,SUM(D8:D10))</f>
        <v>2434</v>
      </c>
      <c r="E11" s="88"/>
      <c r="F11" s="89"/>
      <c r="G11" s="86"/>
      <c r="H11" s="75"/>
    </row>
    <row r="12" spans="1:9" x14ac:dyDescent="0.2">
      <c r="A12" s="75"/>
      <c r="B12" s="92"/>
      <c r="C12" s="92"/>
      <c r="D12" s="92"/>
      <c r="E12" s="88"/>
      <c r="F12" s="89"/>
      <c r="G12" s="93"/>
      <c r="H12" s="75"/>
    </row>
    <row r="13" spans="1:9" ht="22.5" x14ac:dyDescent="0.2">
      <c r="A13" s="124" t="s">
        <v>39</v>
      </c>
      <c r="B13" s="76" t="s">
        <v>4</v>
      </c>
      <c r="C13" s="76" t="str">
        <f>C7</f>
        <v>Business</v>
      </c>
      <c r="D13" s="76" t="s">
        <v>32</v>
      </c>
      <c r="E13" s="94"/>
      <c r="F13" s="95"/>
      <c r="G13" s="93"/>
      <c r="H13" s="75"/>
    </row>
    <row r="14" spans="1:9" x14ac:dyDescent="0.2">
      <c r="A14" s="82" t="s">
        <v>35</v>
      </c>
      <c r="B14" s="83"/>
      <c r="C14" s="84"/>
      <c r="D14" s="85">
        <f>IF(C14=0,0,C14)</f>
        <v>0</v>
      </c>
      <c r="E14" s="75"/>
      <c r="F14" s="75"/>
      <c r="G14" s="93"/>
      <c r="H14" s="75"/>
    </row>
    <row r="15" spans="1:9" x14ac:dyDescent="0.2">
      <c r="A15" s="82" t="s">
        <v>14</v>
      </c>
      <c r="B15" s="84">
        <v>2</v>
      </c>
      <c r="C15" s="84">
        <v>0</v>
      </c>
      <c r="D15" s="85">
        <f>SUM(B15:C15)</f>
        <v>2</v>
      </c>
      <c r="E15" s="87"/>
      <c r="F15" s="87"/>
      <c r="G15" s="86"/>
      <c r="H15" s="75"/>
    </row>
    <row r="16" spans="1:9" x14ac:dyDescent="0.2">
      <c r="A16" s="82" t="s">
        <v>15</v>
      </c>
      <c r="B16" s="84">
        <v>404</v>
      </c>
      <c r="C16" s="84">
        <v>1</v>
      </c>
      <c r="D16" s="85">
        <f>SUM(B16:C16)</f>
        <v>405</v>
      </c>
      <c r="E16" s="88"/>
      <c r="F16" s="89"/>
      <c r="G16" s="86"/>
      <c r="H16" s="75"/>
    </row>
    <row r="17" spans="1:8" x14ac:dyDescent="0.2">
      <c r="A17" s="90" t="str">
        <f>A11</f>
        <v>Total</v>
      </c>
      <c r="B17" s="91">
        <f>IF(B15+B16=0,0,B15+B16)</f>
        <v>406</v>
      </c>
      <c r="C17" s="91">
        <f>IF(SUM(C14:C16)=0,0,SUM(C14:C16))</f>
        <v>1</v>
      </c>
      <c r="D17" s="91">
        <f>IF(SUM(D14:D16)=0,0,SUM(D14:D16))</f>
        <v>407</v>
      </c>
      <c r="E17" s="88"/>
      <c r="F17" s="89"/>
      <c r="G17" s="86"/>
      <c r="H17" s="75"/>
    </row>
    <row r="18" spans="1:8" x14ac:dyDescent="0.2">
      <c r="A18" s="75"/>
      <c r="B18" s="75"/>
      <c r="C18" s="75"/>
      <c r="D18" s="98"/>
      <c r="E18" s="88"/>
      <c r="F18" s="89"/>
      <c r="G18" s="93"/>
      <c r="H18" s="75"/>
    </row>
    <row r="19" spans="1:8" ht="22.5" x14ac:dyDescent="0.2">
      <c r="A19" s="76" t="s">
        <v>40</v>
      </c>
      <c r="B19" s="76" t="s">
        <v>4</v>
      </c>
      <c r="C19" s="76" t="str">
        <f>C7</f>
        <v>Business</v>
      </c>
      <c r="D19" s="76" t="s">
        <v>32</v>
      </c>
      <c r="E19" s="94"/>
      <c r="F19" s="95"/>
      <c r="G19" s="93"/>
      <c r="H19" s="75"/>
    </row>
    <row r="20" spans="1:8" x14ac:dyDescent="0.2">
      <c r="A20" s="82" t="s">
        <v>35</v>
      </c>
      <c r="B20" s="83"/>
      <c r="C20" s="96">
        <f t="shared" ref="C20:D21" si="0">IF(C8+C14=0,0,C8+C14)</f>
        <v>0</v>
      </c>
      <c r="D20" s="85"/>
      <c r="E20" s="93"/>
      <c r="F20" s="93"/>
      <c r="G20" s="93"/>
      <c r="H20" s="75"/>
    </row>
    <row r="21" spans="1:8" x14ac:dyDescent="0.2">
      <c r="A21" s="82" t="s">
        <v>14</v>
      </c>
      <c r="B21" s="96">
        <f>IF(B9+B15=0,0,B9+B15)</f>
        <v>107</v>
      </c>
      <c r="C21" s="96">
        <f>IF(C9+C15=0,0,C9+C15)</f>
        <v>2</v>
      </c>
      <c r="D21" s="85">
        <f t="shared" si="0"/>
        <v>109</v>
      </c>
      <c r="E21" s="86"/>
      <c r="F21" s="93"/>
      <c r="G21" s="93"/>
      <c r="H21" s="75"/>
    </row>
    <row r="22" spans="1:8" x14ac:dyDescent="0.2">
      <c r="A22" s="82" t="s">
        <v>15</v>
      </c>
      <c r="B22" s="96">
        <f>IF(B10+B16=0,0,B10+B16)</f>
        <v>2704</v>
      </c>
      <c r="C22" s="96">
        <f>IF(C10+C16=0,0,C10+C16)</f>
        <v>28</v>
      </c>
      <c r="D22" s="85">
        <f>IF(D10+D16=0,0,D10+D16)</f>
        <v>2732</v>
      </c>
      <c r="E22" s="75"/>
      <c r="F22" s="93"/>
      <c r="G22" s="93"/>
      <c r="H22" s="75"/>
    </row>
    <row r="23" spans="1:8" x14ac:dyDescent="0.2">
      <c r="A23" s="90" t="str">
        <f>A11</f>
        <v>Total</v>
      </c>
      <c r="B23" s="91">
        <f>IF(B21+B22=0,0,B21+B22)</f>
        <v>2811</v>
      </c>
      <c r="C23" s="91">
        <f>IF(SUM(C20:C22)=0,0,SUM(C20:C22))</f>
        <v>30</v>
      </c>
      <c r="D23" s="91">
        <f>SUM(D20:D22)</f>
        <v>2841</v>
      </c>
      <c r="E23" s="75"/>
      <c r="F23" s="93"/>
      <c r="G23" s="93"/>
      <c r="H23" s="75"/>
    </row>
    <row r="24" spans="1:8" x14ac:dyDescent="0.2">
      <c r="B24" s="75"/>
      <c r="C24" s="75"/>
      <c r="E24" s="75"/>
      <c r="F24" s="93"/>
      <c r="G24" s="93"/>
      <c r="H24" s="75"/>
    </row>
    <row r="25" spans="1:8" ht="22.5" x14ac:dyDescent="0.2">
      <c r="A25" s="124" t="s">
        <v>37</v>
      </c>
      <c r="B25" s="76" t="s">
        <v>4</v>
      </c>
      <c r="C25" s="76" t="s">
        <v>5</v>
      </c>
      <c r="D25" s="76" t="s">
        <v>32</v>
      </c>
    </row>
    <row r="26" spans="1:8" x14ac:dyDescent="0.2">
      <c r="A26" s="82" t="s">
        <v>35</v>
      </c>
      <c r="B26" s="83"/>
      <c r="C26" s="96">
        <f>IF(C14+C20=0,0,C14+C20)</f>
        <v>0</v>
      </c>
      <c r="D26" s="85">
        <f>IF(C26=0,0,C26)</f>
        <v>0</v>
      </c>
    </row>
    <row r="27" spans="1:8" x14ac:dyDescent="0.2">
      <c r="A27" s="82" t="s">
        <v>14</v>
      </c>
      <c r="B27" s="84">
        <v>158</v>
      </c>
      <c r="C27" s="84">
        <v>11</v>
      </c>
      <c r="D27" s="85">
        <f>SUM(B27:C27)</f>
        <v>169</v>
      </c>
    </row>
    <row r="28" spans="1:8" x14ac:dyDescent="0.2">
      <c r="A28" s="82" t="s">
        <v>15</v>
      </c>
      <c r="B28" s="84">
        <v>379</v>
      </c>
      <c r="C28" s="84">
        <v>44</v>
      </c>
      <c r="D28" s="85">
        <f>SUM(B28:C28)</f>
        <v>423</v>
      </c>
    </row>
    <row r="29" spans="1:8" x14ac:dyDescent="0.2">
      <c r="A29" s="90" t="str">
        <f>A23</f>
        <v>Total</v>
      </c>
      <c r="B29" s="109">
        <f>IF(B27+B28=0,0,B27+B28)</f>
        <v>537</v>
      </c>
      <c r="C29" s="91">
        <f>IF(SUM(C26:C28)=0,0,SUM(C26:C28))</f>
        <v>55</v>
      </c>
      <c r="D29" s="91">
        <f>IF(SUM(D26:D28)=0,0,SUM(D26:D28))</f>
        <v>592</v>
      </c>
    </row>
    <row r="31" spans="1:8" x14ac:dyDescent="0.2">
      <c r="A31" s="76" t="s">
        <v>38</v>
      </c>
      <c r="B31" s="76" t="s">
        <v>4</v>
      </c>
      <c r="C31" s="76" t="str">
        <f>C19</f>
        <v>Business</v>
      </c>
      <c r="D31" s="76" t="s">
        <v>32</v>
      </c>
    </row>
    <row r="32" spans="1:8" x14ac:dyDescent="0.2">
      <c r="A32" s="82" t="s">
        <v>35</v>
      </c>
      <c r="B32" s="83">
        <f>B20+B26</f>
        <v>0</v>
      </c>
      <c r="C32" s="96">
        <f t="shared" ref="C32:D34" si="1">C20+C26</f>
        <v>0</v>
      </c>
      <c r="D32" s="85">
        <f t="shared" si="1"/>
        <v>0</v>
      </c>
    </row>
    <row r="33" spans="1:7" x14ac:dyDescent="0.2">
      <c r="A33" s="82" t="s">
        <v>14</v>
      </c>
      <c r="B33" s="96">
        <f>B21+B27</f>
        <v>265</v>
      </c>
      <c r="C33" s="96">
        <f t="shared" si="1"/>
        <v>13</v>
      </c>
      <c r="D33" s="85">
        <f t="shared" si="1"/>
        <v>278</v>
      </c>
      <c r="E33" s="75"/>
      <c r="F33" s="75"/>
      <c r="G33" s="75"/>
    </row>
    <row r="34" spans="1:7" x14ac:dyDescent="0.2">
      <c r="A34" s="82" t="s">
        <v>15</v>
      </c>
      <c r="B34" s="96">
        <f>B22+B28</f>
        <v>3083</v>
      </c>
      <c r="C34" s="96">
        <f t="shared" si="1"/>
        <v>72</v>
      </c>
      <c r="D34" s="85">
        <f t="shared" si="1"/>
        <v>3155</v>
      </c>
    </row>
    <row r="35" spans="1:7" x14ac:dyDescent="0.2">
      <c r="A35" s="90" t="str">
        <f>A29</f>
        <v>Total</v>
      </c>
      <c r="B35" s="91">
        <f>IF(B33+B34=0,0,B33+B34)</f>
        <v>3348</v>
      </c>
      <c r="C35" s="91">
        <f>IF(SUM(C32:C34)=0,0,SUM(C32:C34))</f>
        <v>85</v>
      </c>
      <c r="D35" s="91">
        <f>SUM(D32:D34)</f>
        <v>3433</v>
      </c>
    </row>
    <row r="37" spans="1:7" x14ac:dyDescent="0.2">
      <c r="A37" s="97" t="str">
        <f>"In summary, "&amp;TEXT($D$23,"0,000")&amp; " of UI's customers are participating in the CTCleanEnergyOptions Program"</f>
        <v>In summary, 2,841 of UI's customers are participating in the CTCleanEnergyOptions Program</v>
      </c>
    </row>
    <row r="38" spans="1:7" x14ac:dyDescent="0.2">
      <c r="A38" s="97" t="str">
        <f>"In summary, "&amp;TEXT($D$29,"000")&amp; " of UI's customers are participating in RECs only with Sterling Planet"</f>
        <v>In summary, 592 of UI's customers are participating in RECs only with Sterling Planet</v>
      </c>
    </row>
    <row r="39" spans="1:7" x14ac:dyDescent="0.2">
      <c r="A39" s="97" t="str">
        <f>"In summary, "&amp;TEXT($D$35,"0,000")&amp; " of UI's customers are participating in all REC programs"</f>
        <v>In summary, 3,433 of UI's customers are participating in all REC programs</v>
      </c>
    </row>
    <row r="41" spans="1:7" x14ac:dyDescent="0.2">
      <c r="A41" s="98" t="s">
        <v>20</v>
      </c>
    </row>
    <row r="42" spans="1:7" x14ac:dyDescent="0.2">
      <c r="A42" s="75" t="s">
        <v>16</v>
      </c>
    </row>
  </sheetData>
  <mergeCells count="5">
    <mergeCell ref="A1:D1"/>
    <mergeCell ref="A3:D3"/>
    <mergeCell ref="A5:D5"/>
    <mergeCell ref="A4:D4"/>
    <mergeCell ref="A2:D2"/>
  </mergeCells>
  <phoneticPr fontId="10" type="noConversion"/>
  <printOptions horizontalCentered="1"/>
  <pageMargins left="0.75" right="0.5" top="0.5" bottom="0.25" header="0.5" footer="0"/>
  <pageSetup orientation="portrait" r:id="rId1"/>
  <headerFooter alignWithMargins="0">
    <oddHeader xml:space="preserve">&amp;RPage 2 of 4
</oddHeader>
  </headerFooter>
  <ignoredErrors>
    <ignoredError sqref="C20 C26 C32 C33:C34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73847A1E9B97F49BA46858ADBE2F307" ma:contentTypeVersion="14" ma:contentTypeDescription="Crear nuevo documento." ma:contentTypeScope="" ma:versionID="9a41a406cebf6cce94de0d4d99281d09">
  <xsd:schema xmlns:xsd="http://www.w3.org/2001/XMLSchema" xmlns:xs="http://www.w3.org/2001/XMLSchema" xmlns:p="http://schemas.microsoft.com/office/2006/metadata/properties" xmlns:ns3="01ff2d7e-782e-4868-861d-b0d3b4b9d0c2" xmlns:ns4="cd86f438-89d9-47e9-a174-9969eae3e2b9" targetNamespace="http://schemas.microsoft.com/office/2006/metadata/properties" ma:root="true" ma:fieldsID="9e5d4f284f753d91786dd3f9ea3f8810" ns3:_="" ns4:_="">
    <xsd:import namespace="01ff2d7e-782e-4868-861d-b0d3b4b9d0c2"/>
    <xsd:import namespace="cd86f438-89d9-47e9-a174-9969eae3e2b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ff2d7e-782e-4868-861d-b0d3b4b9d0c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86f438-89d9-47e9-a174-9969eae3e2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831D23E-D727-4C6C-8163-BFCC10F82F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ff2d7e-782e-4868-861d-b0d3b4b9d0c2"/>
    <ds:schemaRef ds:uri="cd86f438-89d9-47e9-a174-9969eae3e2b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6E1DDE4-AEA8-48A5-875B-FF6C4D3F3DE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0FD2D0F-D661-492B-92FB-4A59CF007833}">
  <ds:schemaRefs>
    <ds:schemaRef ds:uri="01ff2d7e-782e-4868-861d-b0d3b4b9d0c2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cd86f438-89d9-47e9-a174-9969eae3e2b9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Summary Load Customers </vt:lpstr>
      <vt:lpstr>Suppliers</vt:lpstr>
      <vt:lpstr>Summary REC Customers</vt:lpstr>
      <vt:lpstr>REC_programs_detail</vt:lpstr>
      <vt:lpstr>REC_programs_detail!Print_Area</vt:lpstr>
      <vt:lpstr>'Summary Load Customers '!Print_Area</vt:lpstr>
      <vt:lpstr>'Summary REC Customers'!Print_Area</vt:lpstr>
    </vt:vector>
  </TitlesOfParts>
  <Company>State of CT - DPUC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Arthur R. Marcelynas</dc:creator>
  <cp:lastModifiedBy>Paul Wehner</cp:lastModifiedBy>
  <cp:lastPrinted>2018-02-15T14:56:05Z</cp:lastPrinted>
  <dcterms:created xsi:type="dcterms:W3CDTF">2009-03-17T13:14:28Z</dcterms:created>
  <dcterms:modified xsi:type="dcterms:W3CDTF">2021-09-09T13:16:59Z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2019-03-20 UI ATSO Switches to Alternate Suppliers Attachment 1 06-10-22.xlsx</vt:lpwstr>
  </property>
  <property fmtid="{D5CDD505-2E9C-101B-9397-08002B2CF9AE}" pid="3" name="_NewReviewCycle">
    <vt:lpwstr/>
  </property>
  <property fmtid="{D5CDD505-2E9C-101B-9397-08002B2CF9AE}" pid="4" name="MSIP_Label_624b1752-a977-4927-b9e6-e48a43684aee_Enabled">
    <vt:lpwstr>true</vt:lpwstr>
  </property>
  <property fmtid="{D5CDD505-2E9C-101B-9397-08002B2CF9AE}" pid="5" name="MSIP_Label_624b1752-a977-4927-b9e6-e48a43684aee_SetDate">
    <vt:lpwstr>2020-09-15T16:57:31Z</vt:lpwstr>
  </property>
  <property fmtid="{D5CDD505-2E9C-101B-9397-08002B2CF9AE}" pid="6" name="MSIP_Label_624b1752-a977-4927-b9e6-e48a43684aee_Method">
    <vt:lpwstr>Privileged</vt:lpwstr>
  </property>
  <property fmtid="{D5CDD505-2E9C-101B-9397-08002B2CF9AE}" pid="7" name="MSIP_Label_624b1752-a977-4927-b9e6-e48a43684aee_Name">
    <vt:lpwstr>Public</vt:lpwstr>
  </property>
  <property fmtid="{D5CDD505-2E9C-101B-9397-08002B2CF9AE}" pid="8" name="MSIP_Label_624b1752-a977-4927-b9e6-e48a43684aee_SiteId">
    <vt:lpwstr>031a09bc-a2bf-44df-888e-4e09355b7a24</vt:lpwstr>
  </property>
  <property fmtid="{D5CDD505-2E9C-101B-9397-08002B2CF9AE}" pid="9" name="MSIP_Label_624b1752-a977-4927-b9e6-e48a43684aee_ActionId">
    <vt:lpwstr>613524fd-9e19-4128-bb92-00003958b920</vt:lpwstr>
  </property>
  <property fmtid="{D5CDD505-2E9C-101B-9397-08002B2CF9AE}" pid="10" name="ContentTypeId">
    <vt:lpwstr>0x010100873847A1E9B97F49BA46858ADBE2F307</vt:lpwstr>
  </property>
</Properties>
</file>