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8\"/>
    </mc:Choice>
  </mc:AlternateContent>
  <xr:revisionPtr revIDLastSave="0" documentId="10_ncr:100000_{0A802BEE-6828-4C3D-8563-EEDC8915B6FE}" xr6:coauthVersionLast="31" xr6:coauthVersionMax="31" xr10:uidLastSave="{00000000-0000-0000-0000-000000000000}"/>
  <bookViews>
    <workbookView xWindow="0" yWindow="0" windowWidth="20490" windowHeight="7245" tabRatio="838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1" i="5" l="1"/>
  <c r="B22" i="5"/>
  <c r="C22" i="5"/>
  <c r="F21" i="7" l="1"/>
  <c r="D21" i="7"/>
  <c r="B21" i="7"/>
  <c r="F20" i="7"/>
  <c r="D20" i="7"/>
  <c r="B20" i="7"/>
  <c r="F11" i="7"/>
  <c r="D11" i="7"/>
  <c r="F12" i="7"/>
  <c r="D12" i="7"/>
  <c r="B12" i="7"/>
  <c r="B11" i="7"/>
  <c r="F44" i="6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 l="1"/>
  <c r="B32" i="5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<sst xmlns="http://schemas.openxmlformats.org/spreadsheetml/2006/main" count="158" uniqueCount="92">
  <si>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</si>
  <si>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</si>
  <si>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</si>
  <si>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</si>
  <si>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</si>
  <si>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</si>
  <si>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</si>
  <si>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</si>
  <si>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</si>
  <si>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</si>
  <si>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</si>
  <si>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</si>
  <si>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</si>
  <si>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</si>
  <si>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</si>
  <si>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</si>
  <si>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</si>
  <si>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</si>
  <si>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</si>
  <si>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</si>
  <si>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</si>
  <si>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</si>
  <si>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</si>
  <si>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</si>
  <si>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</si>
  <si>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</si>
  <si>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</si>
  <si>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</si>
  <si>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</si>
  <si>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</si>
  <si>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</si>
  <si>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</si>
  <si>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</si>
  <si>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</si>
  <si>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</si>
  <si>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</si>
  <si>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</si>
  <si>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</si>
  <si>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</si>
  <si>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</si>
  <si>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</si>
  <si>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</si>
  <si>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</si>
  <si>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</si>
  <si>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</si>
  <si>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</si>
  <si>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</si>
  <si>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</si>
  <si>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</si>
  <si>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</si>
  <si>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</si>
  <si>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</si>
  <si>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</si>
  <si>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</si>
  <si>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</si>
  <si>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</si>
  <si>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</si>
  <si>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</si>
  <si>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</si>
  <si>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</si>
  <si>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</si>
  <si>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</si>
  <si>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</si>
  <si>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</si>
  <si>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</si>
  <si>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</si>
  <si>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</si>
  <si>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</si>
  <si>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</si>
  <si>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</si>
  <si>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</si>
  <si>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</si>
  <si>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</si>
  <si>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</si>
  <si>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</si>
  <si>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</si>
  <si>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</si>
  <si>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</si>
  <si>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</si>
  <si>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</si>
  <si>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</si>
  <si>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</si>
  <si>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</si>
  <si>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</si>
  <si>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</si>
  <si>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</si>
  <si>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</si>
  <si>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</si>
  <si>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</si>
  <si>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</si>
  <si>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Data as of August 31, 2021</t>
  </si>
  <si>
    <t>National Gas &amp;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</si>
</sst>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8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8_August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57877.977999999959</v>
          </cell>
        </row>
        <row r="25">
          <cell r="H25">
            <v>135918.46800000008</v>
          </cell>
        </row>
        <row r="26">
          <cell r="H26">
            <v>79953.670000000013</v>
          </cell>
        </row>
        <row r="29">
          <cell r="H29">
            <v>200706.31299999999</v>
          </cell>
        </row>
        <row r="30">
          <cell r="H30">
            <v>63034.919000000002</v>
          </cell>
        </row>
        <row r="31">
          <cell r="H31">
            <v>8499.4189999999999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62280</v>
          </cell>
        </row>
        <row r="19">
          <cell r="B19">
            <v>18829</v>
          </cell>
        </row>
        <row r="20">
          <cell r="B20">
            <v>184</v>
          </cell>
        </row>
        <row r="22">
          <cell r="B22">
            <v>244457</v>
          </cell>
        </row>
        <row r="23">
          <cell r="B23">
            <v>19480</v>
          </cell>
        </row>
        <row r="24">
          <cell r="B24">
            <v>26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opLeftCell="A13" zoomScaleNormal="100" workbookViewId="0">
      <selection activeCell="A24" sqref="A24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90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57877.977999999959</v>
      </c>
      <c r="C11" s="40">
        <f>IF(B11=0,0,B11/$B$13)</f>
        <v>0.22382634991543229</v>
      </c>
      <c r="D11" s="68">
        <f>[1]Check!$H$25</f>
        <v>135918.46800000008</v>
      </c>
      <c r="E11" s="40">
        <f>IF(D11=0,0,D11/$D$13)</f>
        <v>0.68316739940697779</v>
      </c>
      <c r="F11" s="68">
        <f>[1]Check!$H$26</f>
        <v>79953.670000000013</v>
      </c>
      <c r="G11" s="40">
        <f>IF(F11=0,0,F11/$F$13)</f>
        <v>0.90391043324671239</v>
      </c>
      <c r="H11" s="41">
        <f>IF(B11+D11+F11=0,0,B11+D11+F11)</f>
        <v>273750.11600000004</v>
      </c>
      <c r="I11" s="40">
        <f>IF(H11=0,0,H11/$H$13)</f>
        <v>0.5013823173313845</v>
      </c>
    </row>
    <row r="12" spans="1:15" ht="18" customHeight="1" x14ac:dyDescent="0.2">
      <c r="A12" s="39" t="s">
        <v>11</v>
      </c>
      <c r="B12" s="68">
        <f>[1]Check!$H$29</f>
        <v>200706.31299999999</v>
      </c>
      <c r="C12" s="40">
        <f>IF(B12=0,0,B12/$B$13)</f>
        <v>0.77617365008456762</v>
      </c>
      <c r="D12" s="68">
        <f>[1]Check!$H$30</f>
        <v>63034.919000000002</v>
      </c>
      <c r="E12" s="40">
        <f>IF(D12=0,0,D12/$D$13)</f>
        <v>0.31683260059302221</v>
      </c>
      <c r="F12" s="68">
        <f>[1]Check!$H$31</f>
        <v>8499.4189999999999</v>
      </c>
      <c r="G12" s="40">
        <f>IF(F12=0,0,F12/$F$13)</f>
        <v>9.6089566753287711E-2</v>
      </c>
      <c r="H12" s="102">
        <f>IF(B12+D12+F12=0,0,B12+D12+F12)</f>
        <v>272240.65100000001</v>
      </c>
      <c r="I12" s="40">
        <f>IF(H12=0,0,H12/$H$13)</f>
        <v>0.49861768266861556</v>
      </c>
    </row>
    <row r="13" spans="1:15" ht="18" customHeight="1" x14ac:dyDescent="0.2">
      <c r="A13" s="107" t="s">
        <v>6</v>
      </c>
      <c r="B13" s="42">
        <f>SUM(B11:B12)</f>
        <v>258584.29099999997</v>
      </c>
      <c r="C13" s="43"/>
      <c r="D13" s="42">
        <f>SUM(D11:D12)</f>
        <v>198953.38700000008</v>
      </c>
      <c r="E13" s="43"/>
      <c r="F13" s="42">
        <f>SUM(F11:F12)</f>
        <v>88453.089000000007</v>
      </c>
      <c r="G13" s="43"/>
      <c r="H13" s="42">
        <f>IF(H11+H12=0,0,H11+H12)</f>
        <v>545990.76699999999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273,750 MWh, or 50.1%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272,241 MHh, or 49.9%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62280</v>
      </c>
      <c r="C20" s="40">
        <f>IF(B20=0,0,B20/$B$22)</f>
        <v>0.20304038964976512</v>
      </c>
      <c r="D20" s="68">
        <f>[2]Summary!$B$19</f>
        <v>18829</v>
      </c>
      <c r="E20" s="53">
        <f>IF(D20=0,0,D20/$D$22)</f>
        <v>0.4915033020961132</v>
      </c>
      <c r="F20" s="68">
        <f>[2]Summary!$B$20</f>
        <v>184</v>
      </c>
      <c r="G20" s="40">
        <f>IF(F20=0,0,F20/$F$22)</f>
        <v>0.87619047619047619</v>
      </c>
      <c r="H20" s="41">
        <f>IF(B20+D20+F20=0,0,B20+D20+F20)</f>
        <v>81293</v>
      </c>
      <c r="I20" s="40">
        <f>IF(H20=0,0,H20/$H$22)</f>
        <v>0.23545716801445885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244457</v>
      </c>
      <c r="C21" s="40">
        <f>IF(B21=0,0,B21/$B$22)</f>
        <v>0.79695961035023488</v>
      </c>
      <c r="D21" s="69">
        <f>[2]Summary!$B$23</f>
        <v>19480</v>
      </c>
      <c r="E21" s="53">
        <f>IF(D21=0,0,D21/$D$22)</f>
        <v>0.50849669790388685</v>
      </c>
      <c r="F21" s="69">
        <f>[2]Summary!$B$24</f>
        <v>26</v>
      </c>
      <c r="G21" s="40">
        <f>IF(F21=0,0,F21/$F$22)</f>
        <v>0.12380952380952381</v>
      </c>
      <c r="H21" s="69">
        <f>IF(B21+D21+F21=0,0,B21+D21+F21)</f>
        <v>263963</v>
      </c>
      <c r="I21" s="40">
        <f>IF(H21=0,0,H21/$H$22)</f>
        <v>0.76454283198554118</v>
      </c>
    </row>
    <row r="22" spans="1:17" ht="18" customHeight="1" x14ac:dyDescent="0.2">
      <c r="A22" s="39" t="str">
        <f>A13</f>
        <v>Total</v>
      </c>
      <c r="B22" s="42">
        <f>SUM(B20:B21)</f>
        <v>306737</v>
      </c>
      <c r="C22" s="55"/>
      <c r="D22" s="42">
        <f>SUM(D20:D21)</f>
        <v>38309</v>
      </c>
      <c r="E22" s="43"/>
      <c r="F22" s="42">
        <f>SUM(F20:F21)</f>
        <v>210</v>
      </c>
      <c r="G22" s="43"/>
      <c r="H22" s="42">
        <f>IF(H20+H21=0,0,H20+H21)</f>
        <v>345256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81,293 of UI's total customers, or 23.5%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263,963 or 76.5%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F45" sqref="F4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August 31,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4230</v>
      </c>
      <c r="D9" s="113">
        <v>605</v>
      </c>
      <c r="E9" s="114">
        <v>4835</v>
      </c>
      <c r="F9" s="21">
        <f t="shared" ref="F9:F44" si="0">IF(E9=0,"",E9/$E$45)</f>
        <v>5.9137220367176703E-2</v>
      </c>
    </row>
    <row r="10" spans="1:11" ht="14.25" customHeight="1" x14ac:dyDescent="0.2">
      <c r="A10" s="105">
        <v>2</v>
      </c>
      <c r="B10" t="s">
        <v>58</v>
      </c>
      <c r="C10" s="115">
        <v>23</v>
      </c>
      <c r="D10" s="111">
        <v>2634</v>
      </c>
      <c r="E10" s="116">
        <v>2657</v>
      </c>
      <c r="F10" s="21">
        <f t="shared" si="0"/>
        <v>3.2497951295881802E-2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185</v>
      </c>
      <c r="E11" s="116">
        <v>200</v>
      </c>
      <c r="F11" s="21">
        <f t="shared" si="0"/>
        <v>2.4462138724788709E-3</v>
      </c>
    </row>
    <row r="12" spans="1:11" ht="14.25" customHeight="1" x14ac:dyDescent="0.2">
      <c r="A12" s="105">
        <v>4</v>
      </c>
      <c r="B12" t="s">
        <v>60</v>
      </c>
      <c r="C12" s="115">
        <v>354</v>
      </c>
      <c r="D12" s="111">
        <v>8</v>
      </c>
      <c r="E12" s="116">
        <v>362</v>
      </c>
      <c r="F12" s="21">
        <f t="shared" si="0"/>
        <v>4.4276471091867558E-3</v>
      </c>
    </row>
    <row r="13" spans="1:11" ht="14.25" customHeight="1" x14ac:dyDescent="0.2">
      <c r="A13" s="105">
        <v>5</v>
      </c>
      <c r="B13" t="s">
        <v>61</v>
      </c>
      <c r="C13" s="115">
        <v>4735</v>
      </c>
      <c r="D13" s="111">
        <v>195</v>
      </c>
      <c r="E13" s="116">
        <v>4930</v>
      </c>
      <c r="F13" s="21">
        <f t="shared" si="0"/>
        <v>6.0299171956604163E-2</v>
      </c>
    </row>
    <row r="14" spans="1:11" ht="14.25" customHeight="1" x14ac:dyDescent="0.2">
      <c r="A14" s="105">
        <v>6</v>
      </c>
      <c r="B14" t="s">
        <v>62</v>
      </c>
      <c r="C14" s="115">
        <v>302</v>
      </c>
      <c r="D14" s="111">
        <v>59</v>
      </c>
      <c r="E14" s="116">
        <v>361</v>
      </c>
      <c r="F14" s="21">
        <f t="shared" si="0"/>
        <v>4.4154160398243618E-3</v>
      </c>
    </row>
    <row r="15" spans="1:11" ht="14.25" customHeight="1" x14ac:dyDescent="0.2">
      <c r="A15" s="105">
        <v>7</v>
      </c>
      <c r="B15" t="s">
        <v>63</v>
      </c>
      <c r="C15" s="115">
        <v>824</v>
      </c>
      <c r="D15" s="111">
        <v>4868</v>
      </c>
      <c r="E15" s="116">
        <v>5692</v>
      </c>
      <c r="F15" s="21">
        <f t="shared" si="0"/>
        <v>6.9619246810748658E-2</v>
      </c>
    </row>
    <row r="16" spans="1:11" ht="14.25" customHeight="1" x14ac:dyDescent="0.2">
      <c r="A16" s="105">
        <v>8</v>
      </c>
      <c r="B16" t="s">
        <v>64</v>
      </c>
      <c r="C16" s="115">
        <v>9876</v>
      </c>
      <c r="D16" s="111">
        <v>1389</v>
      </c>
      <c r="E16" s="116">
        <v>11265</v>
      </c>
      <c r="F16" s="21">
        <f t="shared" si="0"/>
        <v>0.1377829963673724</v>
      </c>
    </row>
    <row r="17" spans="1:6" ht="14.25" customHeight="1" x14ac:dyDescent="0.2">
      <c r="A17" s="105">
        <v>9</v>
      </c>
      <c r="B17" t="s">
        <v>56</v>
      </c>
      <c r="C17" s="115">
        <v>207</v>
      </c>
      <c r="D17" s="111">
        <v>2121</v>
      </c>
      <c r="E17" s="116">
        <v>2328</v>
      </c>
      <c r="F17" s="21">
        <f t="shared" si="0"/>
        <v>2.8473929475654056E-2</v>
      </c>
    </row>
    <row r="18" spans="1:6" ht="14.25" customHeight="1" x14ac:dyDescent="0.2">
      <c r="A18" s="105">
        <v>10</v>
      </c>
      <c r="B18" t="s">
        <v>65</v>
      </c>
      <c r="C18" s="115">
        <v>4437</v>
      </c>
      <c r="D18" s="111">
        <v>1295</v>
      </c>
      <c r="E18" s="116">
        <v>5732</v>
      </c>
      <c r="F18" s="21">
        <f t="shared" si="0"/>
        <v>7.0108489585244432E-2</v>
      </c>
    </row>
    <row r="19" spans="1:6" ht="14.25" customHeight="1" x14ac:dyDescent="0.2">
      <c r="A19" s="105">
        <v>11</v>
      </c>
      <c r="B19" t="s">
        <v>66</v>
      </c>
      <c r="C19" s="115">
        <v>1531</v>
      </c>
      <c r="D19" s="111">
        <v>336</v>
      </c>
      <c r="E19" s="116">
        <v>1867</v>
      </c>
      <c r="F19" s="21">
        <f t="shared" si="0"/>
        <v>2.2835406499590261E-2</v>
      </c>
    </row>
    <row r="20" spans="1:6" ht="14.25" customHeight="1" x14ac:dyDescent="0.2">
      <c r="A20" s="105">
        <v>12</v>
      </c>
      <c r="B20" t="s">
        <v>89</v>
      </c>
      <c r="C20" s="115">
        <v>495</v>
      </c>
      <c r="D20" s="111">
        <v>291</v>
      </c>
      <c r="E20" s="116">
        <v>786</v>
      </c>
      <c r="F20" s="21">
        <f t="shared" si="0"/>
        <v>9.6136205188419623E-3</v>
      </c>
    </row>
    <row r="21" spans="1:6" ht="14.25" customHeight="1" x14ac:dyDescent="0.2">
      <c r="A21" s="105">
        <v>13</v>
      </c>
      <c r="B21" t="s">
        <v>67</v>
      </c>
      <c r="C21" s="115">
        <v>16</v>
      </c>
      <c r="D21" s="111">
        <v>135</v>
      </c>
      <c r="E21" s="116">
        <v>151</v>
      </c>
      <c r="F21" s="21">
        <f t="shared" si="0"/>
        <v>1.8468914737215475E-3</v>
      </c>
    </row>
    <row r="22" spans="1:6" ht="14.25" customHeight="1" x14ac:dyDescent="0.2">
      <c r="A22" s="105">
        <v>14</v>
      </c>
      <c r="B22" t="s">
        <v>68</v>
      </c>
      <c r="C22" s="115">
        <v>304</v>
      </c>
      <c r="D22" s="111">
        <v>73</v>
      </c>
      <c r="E22" s="116">
        <v>377</v>
      </c>
      <c r="F22" s="21">
        <f t="shared" si="0"/>
        <v>4.6111131496226719E-3</v>
      </c>
    </row>
    <row r="23" spans="1:6" ht="14.25" customHeight="1" x14ac:dyDescent="0.2">
      <c r="A23" s="105">
        <v>15</v>
      </c>
      <c r="B23" t="s">
        <v>69</v>
      </c>
      <c r="C23" s="115">
        <v>25</v>
      </c>
      <c r="D23" s="111"/>
      <c r="E23" s="116">
        <v>25</v>
      </c>
      <c r="F23" s="21">
        <f t="shared" si="0"/>
        <v>3.0577673405985886E-4</v>
      </c>
    </row>
    <row r="24" spans="1:6" ht="14.25" customHeight="1" x14ac:dyDescent="0.2">
      <c r="A24" s="105">
        <v>16</v>
      </c>
      <c r="B24" t="s">
        <v>70</v>
      </c>
      <c r="C24" s="115">
        <v>702</v>
      </c>
      <c r="D24" s="111">
        <v>1187</v>
      </c>
      <c r="E24" s="116">
        <v>1889</v>
      </c>
      <c r="F24" s="21">
        <f t="shared" si="0"/>
        <v>2.3104490025562936E-2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135</v>
      </c>
      <c r="E25" s="116">
        <v>225</v>
      </c>
      <c r="F25" s="21">
        <f t="shared" si="0"/>
        <v>2.7519906065387296E-3</v>
      </c>
    </row>
    <row r="26" spans="1:6" ht="14.25" customHeight="1" x14ac:dyDescent="0.2">
      <c r="A26" s="105">
        <v>18</v>
      </c>
      <c r="B26" t="s">
        <v>12</v>
      </c>
      <c r="C26" s="115">
        <v>5339</v>
      </c>
      <c r="D26" s="111">
        <v>675</v>
      </c>
      <c r="E26" s="116">
        <v>6014</v>
      </c>
      <c r="F26" s="21">
        <f t="shared" si="0"/>
        <v>7.3557651145439648E-2</v>
      </c>
    </row>
    <row r="27" spans="1:6" ht="14.25" customHeight="1" x14ac:dyDescent="0.2">
      <c r="A27" s="105">
        <v>19</v>
      </c>
      <c r="B27" t="s">
        <v>72</v>
      </c>
      <c r="C27" s="115">
        <v>1734</v>
      </c>
      <c r="D27" s="111">
        <v>61</v>
      </c>
      <c r="E27" s="116">
        <v>1795</v>
      </c>
      <c r="F27" s="21">
        <f t="shared" si="0"/>
        <v>2.1954769505497865E-2</v>
      </c>
    </row>
    <row r="28" spans="1:6" ht="14.25" customHeight="1" x14ac:dyDescent="0.2">
      <c r="A28" s="105">
        <v>20</v>
      </c>
      <c r="B28" t="s">
        <v>73</v>
      </c>
      <c r="C28" s="115">
        <v>91</v>
      </c>
      <c r="D28" s="111">
        <v>150</v>
      </c>
      <c r="E28" s="116">
        <v>241</v>
      </c>
      <c r="F28" s="21">
        <f t="shared" si="0"/>
        <v>2.9476877163370392E-3</v>
      </c>
    </row>
    <row r="29" spans="1:6" ht="14.25" customHeight="1" x14ac:dyDescent="0.2">
      <c r="A29" s="105">
        <v>21</v>
      </c>
      <c r="B29" t="s">
        <v>91</v>
      </c>
      <c r="C29" s="115">
        <v>51</v>
      </c>
      <c r="D29" s="111"/>
      <c r="E29" s="116">
        <v>51</v>
      </c>
      <c r="F29" s="21">
        <f t="shared" si="0"/>
        <v>6.2378453748211204E-4</v>
      </c>
    </row>
    <row r="30" spans="1:6" ht="14.25" customHeight="1" x14ac:dyDescent="0.2">
      <c r="A30" s="105">
        <v>22</v>
      </c>
      <c r="B30" t="s">
        <v>74</v>
      </c>
      <c r="C30" s="115">
        <v>63</v>
      </c>
      <c r="D30" s="111">
        <v>398</v>
      </c>
      <c r="E30" s="116">
        <v>461</v>
      </c>
      <c r="F30" s="21">
        <f t="shared" si="0"/>
        <v>5.6385229760637975E-3</v>
      </c>
    </row>
    <row r="31" spans="1:6" ht="14.25" customHeight="1" x14ac:dyDescent="0.2">
      <c r="A31" s="105">
        <v>23</v>
      </c>
      <c r="B31" t="s">
        <v>75</v>
      </c>
      <c r="C31" s="115">
        <v>4504</v>
      </c>
      <c r="D31" s="111">
        <v>145</v>
      </c>
      <c r="E31" s="116">
        <v>4649</v>
      </c>
      <c r="F31" s="21">
        <f t="shared" si="0"/>
        <v>5.6862241465771353E-2</v>
      </c>
    </row>
    <row r="32" spans="1:6" ht="14.25" customHeight="1" x14ac:dyDescent="0.2">
      <c r="A32" s="105">
        <v>24</v>
      </c>
      <c r="B32" t="s">
        <v>76</v>
      </c>
      <c r="C32" s="115">
        <v>683</v>
      </c>
      <c r="D32" s="111">
        <v>101</v>
      </c>
      <c r="E32" s="116">
        <v>784</v>
      </c>
      <c r="F32" s="21">
        <f t="shared" si="0"/>
        <v>9.5891583801171743E-3</v>
      </c>
    </row>
    <row r="33" spans="1:10" ht="14.25" customHeight="1" x14ac:dyDescent="0.2">
      <c r="A33" s="105">
        <v>25</v>
      </c>
      <c r="B33" t="s">
        <v>77</v>
      </c>
      <c r="C33" s="115">
        <v>2884</v>
      </c>
      <c r="D33" s="111">
        <v>677</v>
      </c>
      <c r="E33" s="116">
        <v>3561</v>
      </c>
      <c r="F33" s="21">
        <f t="shared" si="0"/>
        <v>4.3554837999486298E-2</v>
      </c>
    </row>
    <row r="34" spans="1:10" ht="14.25" customHeight="1" x14ac:dyDescent="0.2">
      <c r="A34" s="105">
        <v>26</v>
      </c>
      <c r="B34" t="s">
        <v>78</v>
      </c>
      <c r="C34" s="115">
        <v>50</v>
      </c>
      <c r="D34" s="111">
        <v>47</v>
      </c>
      <c r="E34" s="116">
        <v>97</v>
      </c>
      <c r="F34" s="21">
        <f t="shared" si="0"/>
        <v>1.1864137281522523E-3</v>
      </c>
    </row>
    <row r="35" spans="1:10" ht="14.25" customHeight="1" x14ac:dyDescent="0.2">
      <c r="A35" s="105">
        <v>27</v>
      </c>
      <c r="B35" t="s">
        <v>79</v>
      </c>
      <c r="C35" s="115">
        <v>2516</v>
      </c>
      <c r="D35" s="111">
        <v>276</v>
      </c>
      <c r="E35" s="116">
        <v>2792</v>
      </c>
      <c r="F35" s="21">
        <f t="shared" si="0"/>
        <v>3.4149145659805036E-2</v>
      </c>
    </row>
    <row r="36" spans="1:10" ht="14.25" customHeight="1" x14ac:dyDescent="0.2">
      <c r="A36" s="105">
        <v>28</v>
      </c>
      <c r="B36" t="s">
        <v>80</v>
      </c>
      <c r="C36" s="115">
        <v>649</v>
      </c>
      <c r="D36" s="111">
        <v>346</v>
      </c>
      <c r="E36" s="116">
        <v>995</v>
      </c>
      <c r="F36" s="21">
        <f t="shared" si="0"/>
        <v>1.2169914015582383E-2</v>
      </c>
    </row>
    <row r="37" spans="1:10" ht="14.25" customHeight="1" x14ac:dyDescent="0.2">
      <c r="A37" s="105">
        <v>29</v>
      </c>
      <c r="B37" t="s">
        <v>81</v>
      </c>
      <c r="C37" s="115"/>
      <c r="D37" s="111">
        <v>11</v>
      </c>
      <c r="E37" s="116">
        <v>11</v>
      </c>
      <c r="F37" s="21">
        <f t="shared" si="0"/>
        <v>1.3454176298633789E-4</v>
      </c>
    </row>
    <row r="38" spans="1:10" ht="14.25" customHeight="1" x14ac:dyDescent="0.2">
      <c r="A38" s="105">
        <v>30</v>
      </c>
      <c r="B38" t="s">
        <v>54</v>
      </c>
      <c r="C38" s="115">
        <v>105</v>
      </c>
      <c r="D38" s="111">
        <v>62</v>
      </c>
      <c r="E38" s="116">
        <v>167</v>
      </c>
      <c r="F38" s="21">
        <f t="shared" si="0"/>
        <v>2.0425885835198571E-3</v>
      </c>
    </row>
    <row r="39" spans="1:10" ht="14.25" customHeight="1" x14ac:dyDescent="0.2">
      <c r="A39" s="105">
        <v>31</v>
      </c>
      <c r="B39" t="s">
        <v>82</v>
      </c>
      <c r="C39" s="115">
        <v>10334</v>
      </c>
      <c r="D39" s="111">
        <v>268</v>
      </c>
      <c r="E39" s="116">
        <v>10602</v>
      </c>
      <c r="F39" s="21">
        <f t="shared" si="0"/>
        <v>0.12967379738010495</v>
      </c>
    </row>
    <row r="40" spans="1:10" ht="14.25" customHeight="1" x14ac:dyDescent="0.2">
      <c r="A40" s="105">
        <v>32</v>
      </c>
      <c r="B40" t="s">
        <v>83</v>
      </c>
      <c r="C40" s="115">
        <v>3215</v>
      </c>
      <c r="D40" s="111">
        <v>239</v>
      </c>
      <c r="E40" s="116">
        <v>3454</v>
      </c>
      <c r="F40" s="21">
        <f t="shared" si="0"/>
        <v>4.2246113577710097E-2</v>
      </c>
    </row>
    <row r="41" spans="1:10" ht="14.25" customHeight="1" x14ac:dyDescent="0.2">
      <c r="A41" s="105">
        <v>33</v>
      </c>
      <c r="B41" t="s">
        <v>84</v>
      </c>
      <c r="C41" s="115">
        <v>291</v>
      </c>
      <c r="D41" s="111">
        <v>57</v>
      </c>
      <c r="E41" s="116">
        <v>348</v>
      </c>
      <c r="F41" s="21">
        <f t="shared" si="0"/>
        <v>4.2564121381132355E-3</v>
      </c>
    </row>
    <row r="42" spans="1:10" ht="14.25" customHeight="1" x14ac:dyDescent="0.2">
      <c r="A42" s="105">
        <v>34</v>
      </c>
      <c r="B42" t="s">
        <v>86</v>
      </c>
      <c r="C42" s="115">
        <v>27</v>
      </c>
      <c r="D42" s="111">
        <v>16</v>
      </c>
      <c r="E42" s="116">
        <v>43</v>
      </c>
      <c r="F42" s="21">
        <f t="shared" si="0"/>
        <v>5.2593598258295722E-4</v>
      </c>
    </row>
    <row r="43" spans="1:10" ht="14.25" customHeight="1" x14ac:dyDescent="0.2">
      <c r="A43" s="105">
        <v>35</v>
      </c>
      <c r="B43" t="s">
        <v>85</v>
      </c>
      <c r="C43" s="115">
        <v>1578</v>
      </c>
      <c r="D43" s="111">
        <v>300</v>
      </c>
      <c r="E43" s="116">
        <v>1878</v>
      </c>
      <c r="F43" s="21">
        <f t="shared" si="0"/>
        <v>2.2969948262576596E-2</v>
      </c>
    </row>
    <row r="44" spans="1:10" ht="14.25" customHeight="1" x14ac:dyDescent="0.2">
      <c r="A44" s="105">
        <v>36</v>
      </c>
      <c r="B44" t="s">
        <v>88</v>
      </c>
      <c r="C44" s="115"/>
      <c r="D44" s="111">
        <v>134</v>
      </c>
      <c r="E44" s="116">
        <v>134</v>
      </c>
      <c r="F44" s="21">
        <f t="shared" si="0"/>
        <v>1.6389632945608434E-3</v>
      </c>
    </row>
    <row r="45" spans="1:10" x14ac:dyDescent="0.2">
      <c r="A45" s="105"/>
      <c r="B45" s="122" t="s">
        <v>57</v>
      </c>
      <c r="C45" s="123">
        <v>62280</v>
      </c>
      <c r="D45" s="117">
        <v>19479</v>
      </c>
      <c r="E45" s="118">
        <v>81759</v>
      </c>
      <c r="F45" s="21">
        <f>SUM(F9:F44)</f>
        <v>1.0000000000000004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3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August 31,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2811</v>
      </c>
      <c r="C13" s="43">
        <f>IF(B13=0,0,B13/'Summary Load Customers '!$B$22)</f>
        <v>9.1642025578916146E-3</v>
      </c>
      <c r="D13" s="42">
        <f>REC_programs_detail!C23</f>
        <v>30</v>
      </c>
      <c r="E13" s="43">
        <f>IF(D13=0,0,D13/('Summary Load Customers '!$D$22+'Summary Load Customers '!$F$22))</f>
        <v>7.7883641839092399E-4</v>
      </c>
      <c r="F13" s="42">
        <f>B13+D13</f>
        <v>2841</v>
      </c>
      <c r="G13" s="43">
        <f>IF(F13=0,0,F13/'Summary Load Customers '!$H$22)</f>
        <v>8.2286766920777622E-3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2,841 of UI's customers, or 0.8%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537</v>
      </c>
      <c r="C20" s="43">
        <f>IF(B20=0,0,B20/'Summary Load Customers '!$B$22)</f>
        <v>1.7506854406217705E-3</v>
      </c>
      <c r="D20" s="42">
        <f>REC_programs_detail!C29</f>
        <v>55</v>
      </c>
      <c r="E20" s="43">
        <f>IF(D20=0,0,D20/('Summary Load Customers '!$D$22+'Summary Load Customers '!$F$22))</f>
        <v>1.4278667670500273E-3</v>
      </c>
      <c r="F20" s="42">
        <f>B20+D20</f>
        <v>592</v>
      </c>
      <c r="G20" s="43">
        <f>IF(F20=0,0,F20/'Summary Load Customers '!$H$22)</f>
        <v>1.7146696943717125E-3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0,592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3348</v>
      </c>
      <c r="C27" s="43">
        <f>IF(B27=0,0,B27/'Summary Load Customers '!$B$22)</f>
        <v>1.0914887998513385E-2</v>
      </c>
      <c r="D27" s="42">
        <f>D13+D20</f>
        <v>85</v>
      </c>
      <c r="E27" s="43">
        <f>IF(D27=0,0,D27/('Summary Load Customers '!$D$22+'Summary Load Customers '!$F$22))</f>
        <v>2.2067031854409512E-3</v>
      </c>
      <c r="F27" s="42">
        <f>B27+D27</f>
        <v>3433</v>
      </c>
      <c r="G27" s="43">
        <f>IF(F27=0,0,F27/'Summary Load Customers '!$H$22)</f>
        <v>9.9433463864494753E-3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3,433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abSelected="1" topLeftCell="A16" zoomScale="110" zoomScaleNormal="110" workbookViewId="0">
      <selection activeCell="D21" sqref="D21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August 31,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105</v>
      </c>
      <c r="C9" s="84">
        <v>2</v>
      </c>
      <c r="D9" s="85">
        <f>SUM(B9:C9)</f>
        <v>107</v>
      </c>
      <c r="E9" s="87"/>
      <c r="F9" s="87"/>
      <c r="G9" s="86"/>
      <c r="H9" s="75"/>
    </row>
    <row r="10" spans="1:9" x14ac:dyDescent="0.2">
      <c r="A10" s="82" t="s">
        <v>15</v>
      </c>
      <c r="B10" s="84">
        <v>2300</v>
      </c>
      <c r="C10" s="84">
        <v>27</v>
      </c>
      <c r="D10" s="85">
        <f>SUM(B10:C10)</f>
        <v>2327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2405</v>
      </c>
      <c r="C11" s="91">
        <f>IF(SUM(C8:C10)=0,0,SUM(C8:C10))</f>
        <v>29</v>
      </c>
      <c r="D11" s="91">
        <f>IF(SUM(D8:D10)=0,0,SUM(D8:D10))</f>
        <v>2434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124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404</v>
      </c>
      <c r="C16" s="84">
        <v>1</v>
      </c>
      <c r="D16" s="85">
        <f>SUM(B16:C16)</f>
        <v>405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406</v>
      </c>
      <c r="C17" s="91">
        <f>IF(SUM(C14:C16)=0,0,SUM(C14:C16))</f>
        <v>1</v>
      </c>
      <c r="D17" s="91">
        <f>IF(SUM(D14:D16)=0,0,SUM(D14:D16))</f>
        <v>407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107</v>
      </c>
      <c r="C21" s="96">
        <f>IF(C9+C15=0,0,C9+C15)</f>
        <v>2</v>
      </c>
      <c r="D21" s="85">
        <f t="shared" si="0"/>
        <v>109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2704</v>
      </c>
      <c r="C22" s="96">
        <f>IF(C10+C16=0,0,C10+C16)</f>
        <v>28</v>
      </c>
      <c r="D22" s="85">
        <f>IF(D10+D16=0,0,D10+D16)</f>
        <v>2732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2811</v>
      </c>
      <c r="C23" s="91">
        <f>IF(SUM(C20:C22)=0,0,SUM(C20:C22))</f>
        <v>30</v>
      </c>
      <c r="D23" s="91">
        <f>SUM(D20:D22)</f>
        <v>2841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124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158</v>
      </c>
      <c r="C27" s="84">
        <v>11</v>
      </c>
      <c r="D27" s="85">
        <f>SUM(B27:C27)</f>
        <v>169</v>
      </c>
    </row>
    <row r="28" spans="1:8" x14ac:dyDescent="0.2">
      <c r="A28" s="82" t="s">
        <v>15</v>
      </c>
      <c r="B28" s="84">
        <v>379</v>
      </c>
      <c r="C28" s="84">
        <v>44</v>
      </c>
      <c r="D28" s="85">
        <f>SUM(B28:C28)</f>
        <v>423</v>
      </c>
    </row>
    <row r="29" spans="1:8" x14ac:dyDescent="0.2">
      <c r="A29" s="90" t="str">
        <f>A23</f>
        <v>Total</v>
      </c>
      <c r="B29" s="109">
        <f>IF(B27+B28=0,0,B27+B28)</f>
        <v>537</v>
      </c>
      <c r="C29" s="91">
        <f>IF(SUM(C26:C28)=0,0,SUM(C26:C28))</f>
        <v>55</v>
      </c>
      <c r="D29" s="91">
        <f>IF(SUM(D26:D28)=0,0,SUM(D26:D28))</f>
        <v>592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265</v>
      </c>
      <c r="C33" s="96">
        <f t="shared" si="1"/>
        <v>13</v>
      </c>
      <c r="D33" s="85">
        <f t="shared" si="1"/>
        <v>278</v>
      </c>
      <c r="E33" s="75"/>
      <c r="F33" s="75"/>
      <c r="G33" s="75"/>
    </row>
    <row r="34" spans="1:7" x14ac:dyDescent="0.2">
      <c r="A34" s="82" t="s">
        <v>15</v>
      </c>
      <c r="B34" s="96">
        <f>B22+B28</f>
        <v>3083</v>
      </c>
      <c r="C34" s="96">
        <f t="shared" si="1"/>
        <v>72</v>
      </c>
      <c r="D34" s="85">
        <f t="shared" si="1"/>
        <v>3155</v>
      </c>
    </row>
    <row r="35" spans="1:7" x14ac:dyDescent="0.2">
      <c r="A35" s="90" t="str">
        <f>A29</f>
        <v>Total</v>
      </c>
      <c r="B35" s="91">
        <f>IF(B33+B34=0,0,B33+B34)</f>
        <v>3348</v>
      </c>
      <c r="C35" s="91">
        <f>IF(SUM(C32:C34)=0,0,SUM(C32:C34))</f>
        <v>85</v>
      </c>
      <c r="D35" s="91">
        <f>SUM(D32:D34)</f>
        <v>3433</v>
      </c>
    </row>
    <row r="37" spans="1:7" x14ac:dyDescent="0.2">
      <c r="A37" s="97" t="str">
        <f>"In summary, "&amp;TEXT($D$23,"0,000")&amp; " of UI's customers are participating in the CTCleanEnergyOptions Program"</f>
        <v>In summary, 2,841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592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3,433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2021-09-09T13:16:59Z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