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10\"/>
    </mc:Choice>
  </mc:AlternateContent>
  <xr:revisionPtr revIDLastSave="0" documentId="13_ncr:1_{6BFD05B6-6EAB-4369-9470-5EBD66A28F51}" xr6:coauthVersionLast="45" xr6:coauthVersionMax="45" xr10:uidLastSave="{00000000-0000-0000-0000-000000000000}"/>
  <bookViews>
    <workbookView xWindow="-120" yWindow="-120" windowWidth="20730" windowHeight="1116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8" i="5" l="1"/>
  <c r="F21" i="7" l="1"/>
  <c r="D21" i="7"/>
  <c r="B21" i="7"/>
  <c r="F20" i="7"/>
  <c r="D20" i="7"/>
  <c r="B20" i="7"/>
  <c r="F12" i="7"/>
  <c r="D12" i="7"/>
  <c r="B12" i="7"/>
  <c r="F11" i="7"/>
  <c r="D11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 l="1"/>
  <c r="B21" i="5" l="1"/>
  <c r="B22" i="5"/>
  <c r="C22" i="5"/>
  <c r="B32" i="5" l="1"/>
  <c r="C11" i="5" l="1"/>
  <c r="A5" i="6" l="1"/>
  <c r="B33" i="5" l="1"/>
  <c r="C21" i="5"/>
  <c r="C33" i="5" s="1"/>
  <c r="C34" i="5"/>
  <c r="B34" i="5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 l="1"/>
  <c r="D13" i="7"/>
  <c r="E12" i="7" s="1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<sst xmlns="http://schemas.openxmlformats.org/spreadsheetml/2006/main" count="158" uniqueCount="92">
  <si>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</si>
  <si>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</si>
  <si>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</si>
  <si>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</si>
  <si>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</si>
  <si>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</si>
  <si>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</si>
  <si>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</si>
  <si>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</si>
  <si>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</si>
  <si>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</si>
  <si>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</si>
  <si>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</si>
  <si>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</si>
  <si>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</si>
  <si>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</si>
  <si>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</si>
  <si>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</si>
  <si>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</si>
  <si>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</si>
  <si>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</si>
  <si>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</si>
  <si>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</si>
  <si>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</si>
  <si>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</si>
  <si>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</si>
  <si>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</si>
  <si>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</si>
  <si>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</si>
  <si>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</si>
  <si>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</si>
  <si>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</si>
  <si>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</si>
  <si>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</si>
  <si>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</si>
  <si>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</si>
  <si>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</si>
  <si>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</si>
  <si>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</si>
  <si>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</si>
  <si>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</si>
  <si>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</si>
  <si>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</si>
  <si>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</si>
  <si>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</si>
  <si>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</si>
  <si>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</si>
  <si>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</si>
  <si>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</si>
  <si>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</si>
  <si>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</si>
  <si>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</si>
  <si>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</si>
  <si>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</si>
  <si>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</si>
  <si>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</si>
  <si>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</si>
  <si>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</si>
  <si>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</si>
  <si>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</si>
  <si>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</si>
  <si>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</si>
  <si>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</si>
  <si>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</si>
  <si>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</si>
  <si>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</si>
  <si>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</si>
  <si>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</si>
  <si>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</si>
  <si>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</si>
  <si>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</si>
  <si>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</si>
  <si>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</si>
  <si>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</si>
  <si>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</si>
  <si>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</si>
  <si>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</si>
  <si>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</si>
  <si>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</si>
  <si>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</si>
  <si>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</si>
  <si>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</si>
  <si>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</si>
  <si>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</si>
  <si>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</si>
  <si>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</si>
  <si>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</si>
  <si>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</si>
  <si>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</si>
  <si>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</si>
  <si>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</si>
  <si>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Data as of October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</si>
</sst>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Continuous" vertical="center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10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10_October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30141.775000000001</v>
          </cell>
        </row>
        <row r="25">
          <cell r="H25">
            <v>127175.90499999998</v>
          </cell>
        </row>
        <row r="26">
          <cell r="H26">
            <v>46250.716</v>
          </cell>
        </row>
        <row r="29">
          <cell r="H29">
            <v>111485.25999999998</v>
          </cell>
        </row>
        <row r="30">
          <cell r="H30">
            <v>51875.972999999998</v>
          </cell>
        </row>
        <row r="31">
          <cell r="H31">
            <v>9929.2839999999997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59293</v>
          </cell>
        </row>
        <row r="19">
          <cell r="B19">
            <v>19141</v>
          </cell>
        </row>
        <row r="20">
          <cell r="B20">
            <v>182</v>
          </cell>
        </row>
        <row r="22">
          <cell r="B22">
            <v>247816</v>
          </cell>
        </row>
        <row r="23">
          <cell r="B23">
            <v>19199</v>
          </cell>
        </row>
        <row r="24">
          <cell r="B24">
            <v>28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D20" sqref="D20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07" t="s">
        <v>91</v>
      </c>
      <c r="B6" s="107"/>
      <c r="C6" s="25"/>
      <c r="D6" s="68"/>
      <c r="E6" s="68"/>
      <c r="F6" s="68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6">
        <f>[1]Check!$H$24</f>
        <v>30141.775000000001</v>
      </c>
      <c r="C11" s="123">
        <f>IF(B11=0,0,B11/$B$13)</f>
        <v>0.21282500901046192</v>
      </c>
      <c r="D11" s="66">
        <f>[1]Check!$H$25</f>
        <v>127175.90499999998</v>
      </c>
      <c r="E11" s="123">
        <f>IF(D11=0,0,D11/$D$13)</f>
        <v>0.71027406369901358</v>
      </c>
      <c r="F11" s="66">
        <f>[1]Check!$H$26</f>
        <v>46250.716</v>
      </c>
      <c r="G11" s="123">
        <f>IF(F11=0,0,F11/$F$13)</f>
        <v>0.82325945176219295</v>
      </c>
      <c r="H11" s="125">
        <f>IF(B11+D11+F11=0,0,B11+D11+F11)</f>
        <v>203568.39600000001</v>
      </c>
      <c r="I11" s="40">
        <f>IF(H11=0,0,H11/$H$13)</f>
        <v>0.54017137177275676</v>
      </c>
    </row>
    <row r="12" spans="1:15" ht="18" customHeight="1" x14ac:dyDescent="0.2">
      <c r="A12" s="39" t="s">
        <v>11</v>
      </c>
      <c r="B12" s="126">
        <f>[1]Check!$H$29</f>
        <v>111485.25999999998</v>
      </c>
      <c r="C12" s="123">
        <f>IF(B12=0,0,B12/$B$13)</f>
        <v>0.78717499098953814</v>
      </c>
      <c r="D12" s="126">
        <f>[1]Check!$H$30</f>
        <v>51875.972999999998</v>
      </c>
      <c r="E12" s="123">
        <f>IF(D12=0,0,D12/$D$13)</f>
        <v>0.28972593630098653</v>
      </c>
      <c r="F12" s="126">
        <f>[1]Check!$H$31</f>
        <v>9929.2839999999997</v>
      </c>
      <c r="G12" s="123">
        <f>IF(F12=0,0,F12/$F$13)</f>
        <v>0.17674054823780705</v>
      </c>
      <c r="H12" s="126">
        <f>IF(B12+D12+F12=0,0,B12+D12+F12)</f>
        <v>173290.51699999999</v>
      </c>
      <c r="I12" s="40">
        <f>IF(H12=0,0,H12/$H$13)</f>
        <v>0.45982862822724319</v>
      </c>
    </row>
    <row r="13" spans="1:15" ht="18" customHeight="1" x14ac:dyDescent="0.2">
      <c r="A13" s="104" t="s">
        <v>6</v>
      </c>
      <c r="B13" s="41">
        <f>SUM(B11:B12)</f>
        <v>141627.03499999997</v>
      </c>
      <c r="C13" s="42"/>
      <c r="D13" s="41">
        <f>SUM(D11:D12)</f>
        <v>179051.87799999997</v>
      </c>
      <c r="E13" s="42"/>
      <c r="F13" s="41">
        <f>SUM(F11:F12)</f>
        <v>56180</v>
      </c>
      <c r="G13" s="42"/>
      <c r="H13" s="41">
        <f>IF(H11+H12=0,0,H11+H12)</f>
        <v>376858.913</v>
      </c>
      <c r="I13" s="43"/>
    </row>
    <row r="14" spans="1:15" ht="18" customHeight="1" x14ac:dyDescent="0.2">
      <c r="A14" s="97" t="str">
        <f>"As the above table shows, "&amp;TEXT(H11,"0,000")&amp; " MWh, or "&amp;TEXT(I11,"0.0%")&amp;" of UI's total load is served by electric suppliers"</f>
        <v>As the above table shows, 203,568 MWh, or 54.0% of UI's total load is served by electric suppliers</v>
      </c>
      <c r="H14" s="27"/>
      <c r="L14" s="99"/>
      <c r="M14" s="99"/>
      <c r="O14" s="99"/>
    </row>
    <row r="15" spans="1:15" ht="18" customHeight="1" x14ac:dyDescent="0.25">
      <c r="A15" s="97" t="str">
        <f>"while "&amp;TEXT(H12,"0,000")&amp;" MHh, or "&amp;TEXT(I12,"0.0%")&amp;" of the load is provided under Standard Service or Last Resort service through UI."</f>
        <v>while 173,291 MHh, or 46.0% of the load is provided under Standard Service or Last Resort service through UI.</v>
      </c>
      <c r="B15" s="45"/>
      <c r="C15" s="46"/>
      <c r="D15" s="45"/>
      <c r="E15" s="46"/>
      <c r="F15" s="47"/>
      <c r="G15" s="48"/>
      <c r="H15" s="27"/>
    </row>
    <row r="16" spans="1:15" ht="15" x14ac:dyDescent="0.25">
      <c r="G16" s="48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49"/>
      <c r="H17" s="24"/>
      <c r="I17" s="25"/>
    </row>
    <row r="18" spans="1:17" ht="18" customHeight="1" x14ac:dyDescent="0.25">
      <c r="A18" s="39"/>
      <c r="B18" s="31" t="s">
        <v>30</v>
      </c>
      <c r="C18" s="50"/>
      <c r="D18" s="31" t="s">
        <v>7</v>
      </c>
      <c r="E18" s="51"/>
      <c r="F18" s="31" t="s">
        <v>8</v>
      </c>
      <c r="G18" s="34"/>
      <c r="H18" s="31" t="s">
        <v>32</v>
      </c>
      <c r="I18" s="33"/>
      <c r="O18" s="98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6">
        <f>[2]Summary!$B$18</f>
        <v>59293</v>
      </c>
      <c r="C20" s="123">
        <f>IF(B20=0,0,B20/$B$22)</f>
        <v>0.19306825915228795</v>
      </c>
      <c r="D20" s="66">
        <f>[2]Summary!$B$19</f>
        <v>19141</v>
      </c>
      <c r="E20" s="124">
        <f>IF(D20=0,0,D20/$D$22)</f>
        <v>0.49924360980699006</v>
      </c>
      <c r="F20" s="66">
        <f>[2]Summary!$B$20</f>
        <v>182</v>
      </c>
      <c r="G20" s="123">
        <f>IF(F20=0,0,F20/$F$22)</f>
        <v>0.8666666666666667</v>
      </c>
      <c r="H20" s="125">
        <f>IF(B20+D20+F20=0,0,B20+D20+F20)</f>
        <v>78616</v>
      </c>
      <c r="I20" s="40">
        <f>IF(H20=0,0,H20/$H$22)</f>
        <v>0.22743802417989983</v>
      </c>
      <c r="J20" s="52"/>
      <c r="K20" s="52"/>
      <c r="M20" s="99"/>
    </row>
    <row r="21" spans="1:17" ht="18" customHeight="1" x14ac:dyDescent="0.2">
      <c r="A21" s="39" t="str">
        <f>A12</f>
        <v>UI</v>
      </c>
      <c r="B21" s="67">
        <f>[2]Summary!$B$22</f>
        <v>247816</v>
      </c>
      <c r="C21" s="123">
        <f>IF(B21=0,0,B21/$B$22)</f>
        <v>0.80693174084771202</v>
      </c>
      <c r="D21" s="67">
        <f>[2]Summary!$B$23</f>
        <v>19199</v>
      </c>
      <c r="E21" s="124">
        <f>IF(D21=0,0,D21/$D$22)</f>
        <v>0.50075639019300988</v>
      </c>
      <c r="F21" s="67">
        <f>[2]Summary!$B$24</f>
        <v>28</v>
      </c>
      <c r="G21" s="123">
        <f>IF(F21=0,0,F21/$F$22)</f>
        <v>0.13333333333333333</v>
      </c>
      <c r="H21" s="67">
        <f>IF(B21+D21+F21=0,0,B21+D21+F21)</f>
        <v>267043</v>
      </c>
      <c r="I21" s="40">
        <f>IF(H21=0,0,H21/$H$22)</f>
        <v>0.77256197582010011</v>
      </c>
    </row>
    <row r="22" spans="1:17" ht="18" customHeight="1" x14ac:dyDescent="0.2">
      <c r="A22" s="39" t="str">
        <f>A13</f>
        <v>Total</v>
      </c>
      <c r="B22" s="41">
        <f>SUM(B20:B21)</f>
        <v>307109</v>
      </c>
      <c r="C22" s="53"/>
      <c r="D22" s="41">
        <f>SUM(D20:D21)</f>
        <v>38340</v>
      </c>
      <c r="E22" s="42"/>
      <c r="F22" s="41">
        <f>SUM(F20:F21)</f>
        <v>210</v>
      </c>
      <c r="G22" s="42"/>
      <c r="H22" s="41">
        <f>IF(H20+H21=0,0,H20+H21)</f>
        <v>345659</v>
      </c>
      <c r="I22" s="43"/>
      <c r="N22" s="99"/>
      <c r="Q22" s="99"/>
    </row>
    <row r="23" spans="1:17" ht="18" customHeight="1" x14ac:dyDescent="0.25">
      <c r="G23" s="48"/>
      <c r="H23" s="27"/>
    </row>
    <row r="24" spans="1:17" ht="18" customHeight="1" x14ac:dyDescent="0.25">
      <c r="A24" s="97" t="str">
        <f>"As the above table shows, "&amp;TEXT(H20,"0,000")&amp; " of UI's total customers, or "&amp;TEXT(I20,"0.0%")&amp;" are served by electric suppliers"</f>
        <v>As the above table shows, 78,616 of UI's total customers, or 22.7% are served by electric suppliers</v>
      </c>
      <c r="G24" s="48"/>
      <c r="H24" s="27"/>
      <c r="J24" s="99"/>
    </row>
    <row r="25" spans="1:17" ht="18" customHeight="1" x14ac:dyDescent="0.25">
      <c r="A25" s="97" t="str">
        <f>"while "&amp;TEXT(H21,"0,000")&amp;" or "&amp;TEXT(I21,"0.0%")&amp;" of the customers continue to receive Standard Service or Last Resort service through UI."</f>
        <v>while 267,043 or 77.3% of the customers continue to receive Standard Service or Last Resort service through UI.</v>
      </c>
      <c r="B25" s="54"/>
      <c r="C25" s="54"/>
      <c r="D25" s="54"/>
      <c r="E25" s="54"/>
      <c r="F25" s="55"/>
      <c r="G25" s="56"/>
      <c r="H25" s="27"/>
    </row>
    <row r="26" spans="1:17" ht="18" customHeight="1" x14ac:dyDescent="0.25">
      <c r="B26" s="27"/>
      <c r="C26" s="27"/>
      <c r="D26" s="56"/>
      <c r="E26" s="56"/>
      <c r="F26" s="57"/>
      <c r="G26" s="57"/>
      <c r="H26" s="27"/>
    </row>
    <row r="28" spans="1:17" ht="13.5" x14ac:dyDescent="0.2">
      <c r="A28" s="64" t="s">
        <v>27</v>
      </c>
      <c r="I28" s="99"/>
    </row>
    <row r="29" spans="1:17" ht="13.5" x14ac:dyDescent="0.2">
      <c r="A29" s="64" t="s">
        <v>31</v>
      </c>
    </row>
    <row r="30" spans="1:17" ht="13.5" x14ac:dyDescent="0.2">
      <c r="A30" s="64" t="s">
        <v>49</v>
      </c>
    </row>
    <row r="31" spans="1:17" x14ac:dyDescent="0.2">
      <c r="A31" s="65" t="s">
        <v>17</v>
      </c>
    </row>
    <row r="32" spans="1:17" x14ac:dyDescent="0.2">
      <c r="A32" s="65" t="s">
        <v>23</v>
      </c>
    </row>
    <row r="36" spans="1:1" x14ac:dyDescent="0.2">
      <c r="A36" s="99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7" t="s">
        <v>55</v>
      </c>
      <c r="B2" s="127"/>
      <c r="C2" s="127"/>
      <c r="D2" s="127"/>
      <c r="E2" s="127"/>
      <c r="F2" s="127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October 31, 2021</v>
      </c>
      <c r="B5" s="122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2">
        <v>1</v>
      </c>
      <c r="B9" t="s">
        <v>50</v>
      </c>
      <c r="C9" s="109">
        <v>4724</v>
      </c>
      <c r="D9" s="110">
        <v>584</v>
      </c>
      <c r="E9" s="111">
        <v>5308</v>
      </c>
      <c r="F9" s="21">
        <f t="shared" ref="F9:F44" si="0">IF(E9=0,"",E9/$E$45)</f>
        <v>6.7625587646991378E-2</v>
      </c>
    </row>
    <row r="10" spans="1:11" ht="14.25" customHeight="1" x14ac:dyDescent="0.2">
      <c r="A10" s="102">
        <v>2</v>
      </c>
      <c r="B10" t="s">
        <v>58</v>
      </c>
      <c r="C10" s="112">
        <v>110</v>
      </c>
      <c r="D10" s="108">
        <v>2645</v>
      </c>
      <c r="E10" s="113">
        <v>2755</v>
      </c>
      <c r="F10" s="21">
        <f t="shared" si="0"/>
        <v>3.5099565555286594E-2</v>
      </c>
    </row>
    <row r="11" spans="1:11" ht="14.25" customHeight="1" x14ac:dyDescent="0.2">
      <c r="A11" s="102">
        <v>3</v>
      </c>
      <c r="B11" t="s">
        <v>59</v>
      </c>
      <c r="C11" s="112">
        <v>15</v>
      </c>
      <c r="D11" s="108">
        <v>181</v>
      </c>
      <c r="E11" s="113">
        <v>196</v>
      </c>
      <c r="F11" s="21">
        <f t="shared" si="0"/>
        <v>2.4971015785249266E-3</v>
      </c>
    </row>
    <row r="12" spans="1:11" ht="14.25" customHeight="1" x14ac:dyDescent="0.2">
      <c r="A12" s="102">
        <v>4</v>
      </c>
      <c r="B12" t="s">
        <v>60</v>
      </c>
      <c r="C12" s="112">
        <v>339</v>
      </c>
      <c r="D12" s="108">
        <v>7</v>
      </c>
      <c r="E12" s="113">
        <v>346</v>
      </c>
      <c r="F12" s="21">
        <f t="shared" si="0"/>
        <v>4.408148704947064E-3</v>
      </c>
    </row>
    <row r="13" spans="1:11" ht="14.25" customHeight="1" x14ac:dyDescent="0.2">
      <c r="A13" s="102">
        <v>5</v>
      </c>
      <c r="B13" t="s">
        <v>61</v>
      </c>
      <c r="C13" s="112">
        <v>4369</v>
      </c>
      <c r="D13" s="108">
        <v>184</v>
      </c>
      <c r="E13" s="113">
        <v>4553</v>
      </c>
      <c r="F13" s="21">
        <f t="shared" si="0"/>
        <v>5.8006650443999948E-2</v>
      </c>
    </row>
    <row r="14" spans="1:11" ht="14.25" customHeight="1" x14ac:dyDescent="0.2">
      <c r="A14" s="102">
        <v>6</v>
      </c>
      <c r="B14" t="s">
        <v>62</v>
      </c>
      <c r="C14" s="112">
        <v>285</v>
      </c>
      <c r="D14" s="108">
        <v>56</v>
      </c>
      <c r="E14" s="113">
        <v>341</v>
      </c>
      <c r="F14" s="21">
        <f t="shared" si="0"/>
        <v>4.3444471340663262E-3</v>
      </c>
    </row>
    <row r="15" spans="1:11" ht="14.25" customHeight="1" x14ac:dyDescent="0.2">
      <c r="A15" s="102">
        <v>7</v>
      </c>
      <c r="B15" t="s">
        <v>63</v>
      </c>
      <c r="C15" s="112">
        <v>812</v>
      </c>
      <c r="D15" s="108">
        <v>4835</v>
      </c>
      <c r="E15" s="113">
        <v>5647</v>
      </c>
      <c r="F15" s="21">
        <f t="shared" si="0"/>
        <v>7.1944554152705412E-2</v>
      </c>
    </row>
    <row r="16" spans="1:11" ht="14.25" customHeight="1" x14ac:dyDescent="0.2">
      <c r="A16" s="102">
        <v>8</v>
      </c>
      <c r="B16" t="s">
        <v>64</v>
      </c>
      <c r="C16" s="112">
        <v>9686</v>
      </c>
      <c r="D16" s="108">
        <v>1345</v>
      </c>
      <c r="E16" s="113">
        <v>11031</v>
      </c>
      <c r="F16" s="21">
        <f t="shared" si="0"/>
        <v>0.14053840567708401</v>
      </c>
    </row>
    <row r="17" spans="1:6" ht="14.25" customHeight="1" x14ac:dyDescent="0.2">
      <c r="A17" s="102">
        <v>9</v>
      </c>
      <c r="B17" t="s">
        <v>56</v>
      </c>
      <c r="C17" s="112">
        <v>210</v>
      </c>
      <c r="D17" s="108">
        <v>2093</v>
      </c>
      <c r="E17" s="113">
        <v>2303</v>
      </c>
      <c r="F17" s="21">
        <f t="shared" si="0"/>
        <v>2.9340943547667885E-2</v>
      </c>
    </row>
    <row r="18" spans="1:6" ht="14.25" customHeight="1" x14ac:dyDescent="0.2">
      <c r="A18" s="102">
        <v>10</v>
      </c>
      <c r="B18" t="s">
        <v>65</v>
      </c>
      <c r="C18" s="112">
        <v>4343</v>
      </c>
      <c r="D18" s="108">
        <v>1271</v>
      </c>
      <c r="E18" s="113">
        <v>5614</v>
      </c>
      <c r="F18" s="21">
        <f t="shared" si="0"/>
        <v>7.1524123784892535E-2</v>
      </c>
    </row>
    <row r="19" spans="1:6" ht="14.25" customHeight="1" x14ac:dyDescent="0.2">
      <c r="A19" s="102">
        <v>11</v>
      </c>
      <c r="B19" t="s">
        <v>66</v>
      </c>
      <c r="C19" s="112">
        <v>1136</v>
      </c>
      <c r="D19" s="108">
        <v>296</v>
      </c>
      <c r="E19" s="113">
        <v>1432</v>
      </c>
      <c r="F19" s="21">
        <f t="shared" si="0"/>
        <v>1.8244129900243339E-2</v>
      </c>
    </row>
    <row r="20" spans="1:6" ht="14.25" customHeight="1" x14ac:dyDescent="0.2">
      <c r="A20" s="102">
        <v>12</v>
      </c>
      <c r="B20" t="s">
        <v>89</v>
      </c>
      <c r="C20" s="112">
        <v>494</v>
      </c>
      <c r="D20" s="108">
        <v>289</v>
      </c>
      <c r="E20" s="113">
        <v>783</v>
      </c>
      <c r="F20" s="21">
        <f t="shared" si="0"/>
        <v>9.9756659999235588E-3</v>
      </c>
    </row>
    <row r="21" spans="1:6" ht="14.25" customHeight="1" x14ac:dyDescent="0.2">
      <c r="A21" s="102">
        <v>13</v>
      </c>
      <c r="B21" t="s">
        <v>67</v>
      </c>
      <c r="C21" s="112">
        <v>16</v>
      </c>
      <c r="D21" s="108">
        <v>134</v>
      </c>
      <c r="E21" s="113">
        <v>150</v>
      </c>
      <c r="F21" s="21">
        <f t="shared" si="0"/>
        <v>1.9110471264221377E-3</v>
      </c>
    </row>
    <row r="22" spans="1:6" ht="14.25" customHeight="1" x14ac:dyDescent="0.2">
      <c r="A22" s="102">
        <v>14</v>
      </c>
      <c r="B22" t="s">
        <v>68</v>
      </c>
      <c r="C22" s="112">
        <v>297</v>
      </c>
      <c r="D22" s="108">
        <v>72</v>
      </c>
      <c r="E22" s="113">
        <v>369</v>
      </c>
      <c r="F22" s="21">
        <f t="shared" si="0"/>
        <v>4.7011759309984582E-3</v>
      </c>
    </row>
    <row r="23" spans="1:6" ht="14.25" customHeight="1" x14ac:dyDescent="0.2">
      <c r="A23" s="102">
        <v>15</v>
      </c>
      <c r="B23" t="s">
        <v>69</v>
      </c>
      <c r="C23" s="112">
        <v>24</v>
      </c>
      <c r="D23" s="108"/>
      <c r="E23" s="113">
        <v>24</v>
      </c>
      <c r="F23" s="21">
        <f t="shared" si="0"/>
        <v>3.0576754022754204E-4</v>
      </c>
    </row>
    <row r="24" spans="1:6" ht="14.25" customHeight="1" x14ac:dyDescent="0.2">
      <c r="A24" s="102">
        <v>16</v>
      </c>
      <c r="B24" t="s">
        <v>70</v>
      </c>
      <c r="C24" s="112">
        <v>708</v>
      </c>
      <c r="D24" s="108">
        <v>1190</v>
      </c>
      <c r="E24" s="113">
        <v>1898</v>
      </c>
      <c r="F24" s="21">
        <f t="shared" si="0"/>
        <v>2.4181116306328115E-2</v>
      </c>
    </row>
    <row r="25" spans="1:6" ht="14.25" customHeight="1" x14ac:dyDescent="0.2">
      <c r="A25" s="102">
        <v>17</v>
      </c>
      <c r="B25" t="s">
        <v>71</v>
      </c>
      <c r="C25" s="112">
        <v>90</v>
      </c>
      <c r="D25" s="108">
        <v>130</v>
      </c>
      <c r="E25" s="113">
        <v>220</v>
      </c>
      <c r="F25" s="21">
        <f t="shared" si="0"/>
        <v>2.8028691187524683E-3</v>
      </c>
    </row>
    <row r="26" spans="1:6" ht="14.25" customHeight="1" x14ac:dyDescent="0.2">
      <c r="A26" s="102">
        <v>18</v>
      </c>
      <c r="B26" t="s">
        <v>12</v>
      </c>
      <c r="C26" s="112">
        <v>5113</v>
      </c>
      <c r="D26" s="108">
        <v>647</v>
      </c>
      <c r="E26" s="113">
        <v>5760</v>
      </c>
      <c r="F26" s="21">
        <f t="shared" si="0"/>
        <v>7.338420965461008E-2</v>
      </c>
    </row>
    <row r="27" spans="1:6" ht="14.25" customHeight="1" x14ac:dyDescent="0.2">
      <c r="A27" s="102">
        <v>19</v>
      </c>
      <c r="B27" t="s">
        <v>72</v>
      </c>
      <c r="C27" s="112">
        <v>3973</v>
      </c>
      <c r="D27" s="108">
        <v>244</v>
      </c>
      <c r="E27" s="113">
        <v>4217</v>
      </c>
      <c r="F27" s="21">
        <f t="shared" si="0"/>
        <v>5.3725904880814364E-2</v>
      </c>
    </row>
    <row r="28" spans="1:6" ht="14.25" customHeight="1" x14ac:dyDescent="0.2">
      <c r="A28" s="102">
        <v>20</v>
      </c>
      <c r="B28" t="s">
        <v>73</v>
      </c>
      <c r="C28" s="112"/>
      <c r="D28" s="108">
        <v>147</v>
      </c>
      <c r="E28" s="113">
        <v>147</v>
      </c>
      <c r="F28" s="21">
        <f t="shared" si="0"/>
        <v>1.8728261838936947E-3</v>
      </c>
    </row>
    <row r="29" spans="1:6" ht="14.25" customHeight="1" x14ac:dyDescent="0.2">
      <c r="A29" s="102">
        <v>21</v>
      </c>
      <c r="B29" t="s">
        <v>90</v>
      </c>
      <c r="C29" s="112">
        <v>68</v>
      </c>
      <c r="D29" s="108"/>
      <c r="E29" s="113">
        <v>68</v>
      </c>
      <c r="F29" s="21">
        <f t="shared" si="0"/>
        <v>8.6634136397803572E-4</v>
      </c>
    </row>
    <row r="30" spans="1:6" ht="14.25" customHeight="1" x14ac:dyDescent="0.2">
      <c r="A30" s="102">
        <v>22</v>
      </c>
      <c r="B30" t="s">
        <v>74</v>
      </c>
      <c r="C30" s="112">
        <v>62</v>
      </c>
      <c r="D30" s="108">
        <v>408</v>
      </c>
      <c r="E30" s="113">
        <v>470</v>
      </c>
      <c r="F30" s="21">
        <f t="shared" si="0"/>
        <v>5.9879476627893646E-3</v>
      </c>
    </row>
    <row r="31" spans="1:6" ht="14.25" customHeight="1" x14ac:dyDescent="0.2">
      <c r="A31" s="102">
        <v>23</v>
      </c>
      <c r="B31" t="s">
        <v>75</v>
      </c>
      <c r="C31" s="112">
        <v>4046</v>
      </c>
      <c r="D31" s="108">
        <v>142</v>
      </c>
      <c r="E31" s="113">
        <v>4188</v>
      </c>
      <c r="F31" s="21">
        <f t="shared" si="0"/>
        <v>5.3356435769706084E-2</v>
      </c>
    </row>
    <row r="32" spans="1:6" ht="14.25" customHeight="1" x14ac:dyDescent="0.2">
      <c r="A32" s="102">
        <v>24</v>
      </c>
      <c r="B32" t="s">
        <v>76</v>
      </c>
      <c r="C32" s="112">
        <v>664</v>
      </c>
      <c r="D32" s="108">
        <v>100</v>
      </c>
      <c r="E32" s="113">
        <v>764</v>
      </c>
      <c r="F32" s="21">
        <f t="shared" si="0"/>
        <v>9.7336000305767532E-3</v>
      </c>
    </row>
    <row r="33" spans="1:10" ht="14.25" customHeight="1" x14ac:dyDescent="0.2">
      <c r="A33" s="102">
        <v>25</v>
      </c>
      <c r="B33" t="s">
        <v>77</v>
      </c>
      <c r="C33" s="112">
        <v>2599</v>
      </c>
      <c r="D33" s="108">
        <v>663</v>
      </c>
      <c r="E33" s="113">
        <v>3262</v>
      </c>
      <c r="F33" s="21">
        <f t="shared" si="0"/>
        <v>4.1558904842593419E-2</v>
      </c>
    </row>
    <row r="34" spans="1:10" ht="14.25" customHeight="1" x14ac:dyDescent="0.2">
      <c r="A34" s="102">
        <v>26</v>
      </c>
      <c r="B34" t="s">
        <v>78</v>
      </c>
      <c r="C34" s="112">
        <v>50</v>
      </c>
      <c r="D34" s="108">
        <v>46</v>
      </c>
      <c r="E34" s="113">
        <v>96</v>
      </c>
      <c r="F34" s="21">
        <f t="shared" si="0"/>
        <v>1.2230701609101681E-3</v>
      </c>
    </row>
    <row r="35" spans="1:10" ht="14.25" customHeight="1" x14ac:dyDescent="0.2">
      <c r="A35" s="102">
        <v>27</v>
      </c>
      <c r="B35" t="s">
        <v>79</v>
      </c>
      <c r="C35" s="112">
        <v>70</v>
      </c>
      <c r="D35" s="108">
        <v>78</v>
      </c>
      <c r="E35" s="113">
        <v>148</v>
      </c>
      <c r="F35" s="21">
        <f t="shared" si="0"/>
        <v>1.8855664980698425E-3</v>
      </c>
    </row>
    <row r="36" spans="1:10" ht="14.25" customHeight="1" x14ac:dyDescent="0.2">
      <c r="A36" s="102">
        <v>28</v>
      </c>
      <c r="B36" t="s">
        <v>80</v>
      </c>
      <c r="C36" s="112">
        <v>619</v>
      </c>
      <c r="D36" s="108">
        <v>355</v>
      </c>
      <c r="E36" s="113">
        <v>974</v>
      </c>
      <c r="F36" s="21">
        <f t="shared" si="0"/>
        <v>1.2409066007567747E-2</v>
      </c>
    </row>
    <row r="37" spans="1:10" ht="14.25" customHeight="1" x14ac:dyDescent="0.2">
      <c r="A37" s="102">
        <v>29</v>
      </c>
      <c r="B37" t="s">
        <v>81</v>
      </c>
      <c r="C37" s="112"/>
      <c r="D37" s="108">
        <v>11</v>
      </c>
      <c r="E37" s="113">
        <v>11</v>
      </c>
      <c r="F37" s="21">
        <f t="shared" si="0"/>
        <v>1.4014345593762342E-4</v>
      </c>
    </row>
    <row r="38" spans="1:10" ht="14.25" customHeight="1" x14ac:dyDescent="0.2">
      <c r="A38" s="102">
        <v>30</v>
      </c>
      <c r="B38" t="s">
        <v>54</v>
      </c>
      <c r="C38" s="112">
        <v>80</v>
      </c>
      <c r="D38" s="108">
        <v>60</v>
      </c>
      <c r="E38" s="113">
        <v>140</v>
      </c>
      <c r="F38" s="21">
        <f t="shared" si="0"/>
        <v>1.7836439846606617E-3</v>
      </c>
    </row>
    <row r="39" spans="1:10" ht="14.25" customHeight="1" x14ac:dyDescent="0.2">
      <c r="A39" s="102">
        <v>31</v>
      </c>
      <c r="B39" t="s">
        <v>82</v>
      </c>
      <c r="C39" s="112">
        <v>9356</v>
      </c>
      <c r="D39" s="108">
        <v>264</v>
      </c>
      <c r="E39" s="113">
        <v>9620</v>
      </c>
      <c r="F39" s="21">
        <f t="shared" si="0"/>
        <v>0.12256182237453976</v>
      </c>
    </row>
    <row r="40" spans="1:10" ht="14.25" customHeight="1" x14ac:dyDescent="0.2">
      <c r="A40" s="102">
        <v>32</v>
      </c>
      <c r="B40" t="s">
        <v>83</v>
      </c>
      <c r="C40" s="112">
        <v>3061</v>
      </c>
      <c r="D40" s="108">
        <v>222</v>
      </c>
      <c r="E40" s="113">
        <v>3283</v>
      </c>
      <c r="F40" s="21">
        <f t="shared" si="0"/>
        <v>4.1826451440292518E-2</v>
      </c>
    </row>
    <row r="41" spans="1:10" ht="14.25" customHeight="1" x14ac:dyDescent="0.2">
      <c r="A41" s="102">
        <v>33</v>
      </c>
      <c r="B41" t="s">
        <v>84</v>
      </c>
      <c r="C41" s="112">
        <v>284</v>
      </c>
      <c r="D41" s="108">
        <v>55</v>
      </c>
      <c r="E41" s="113">
        <v>339</v>
      </c>
      <c r="F41" s="21">
        <f t="shared" si="0"/>
        <v>4.318966505714031E-3</v>
      </c>
    </row>
    <row r="42" spans="1:10" ht="14.25" customHeight="1" x14ac:dyDescent="0.2">
      <c r="A42" s="102">
        <v>34</v>
      </c>
      <c r="B42" t="s">
        <v>86</v>
      </c>
      <c r="C42" s="112">
        <v>27</v>
      </c>
      <c r="D42" s="108">
        <v>16</v>
      </c>
      <c r="E42" s="113">
        <v>43</v>
      </c>
      <c r="F42" s="21">
        <f t="shared" si="0"/>
        <v>5.4783350957434611E-4</v>
      </c>
    </row>
    <row r="43" spans="1:10" ht="14.25" customHeight="1" x14ac:dyDescent="0.2">
      <c r="A43" s="102">
        <v>35</v>
      </c>
      <c r="B43" t="s">
        <v>85</v>
      </c>
      <c r="C43" s="112">
        <v>1563</v>
      </c>
      <c r="D43" s="108">
        <v>301</v>
      </c>
      <c r="E43" s="113">
        <v>1864</v>
      </c>
      <c r="F43" s="21">
        <f t="shared" si="0"/>
        <v>2.3747945624339097E-2</v>
      </c>
    </row>
    <row r="44" spans="1:10" ht="14.25" customHeight="1" x14ac:dyDescent="0.2">
      <c r="A44" s="102">
        <v>36</v>
      </c>
      <c r="B44" t="s">
        <v>88</v>
      </c>
      <c r="C44" s="112"/>
      <c r="D44" s="108">
        <v>127</v>
      </c>
      <c r="E44" s="113">
        <v>127</v>
      </c>
      <c r="F44" s="21">
        <f t="shared" si="0"/>
        <v>1.6180199003707431E-3</v>
      </c>
    </row>
    <row r="45" spans="1:10" x14ac:dyDescent="0.2">
      <c r="A45" s="102"/>
      <c r="B45" s="119" t="s">
        <v>57</v>
      </c>
      <c r="C45" s="120">
        <v>59293</v>
      </c>
      <c r="D45" s="114">
        <v>19198</v>
      </c>
      <c r="E45" s="115">
        <v>78491</v>
      </c>
      <c r="F45" s="21">
        <f>SUM(F9:F44)</f>
        <v>1.0000000000000002</v>
      </c>
      <c r="G45" s="105"/>
    </row>
    <row r="46" spans="1:10" x14ac:dyDescent="0.2">
      <c r="A46" s="103"/>
      <c r="B46" s="116"/>
      <c r="C46" s="117"/>
      <c r="D46" s="117"/>
      <c r="E46" s="117"/>
      <c r="F46" s="118"/>
      <c r="G46" s="105"/>
    </row>
    <row r="47" spans="1:10" x14ac:dyDescent="0.2">
      <c r="A47" s="1" t="s">
        <v>22</v>
      </c>
      <c r="B47" s="100"/>
    </row>
    <row r="48" spans="1:10" x14ac:dyDescent="0.2">
      <c r="A48" s="1" t="s">
        <v>21</v>
      </c>
      <c r="J48" s="101"/>
    </row>
    <row r="49" spans="1:1" x14ac:dyDescent="0.2">
      <c r="A49" s="1" t="s">
        <v>17</v>
      </c>
    </row>
  </sheetData>
  <sortState xmlns:xlrd2="http://schemas.microsoft.com/office/spreadsheetml/2017/richdata2"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/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7" t="s">
        <v>55</v>
      </c>
      <c r="B2" s="127"/>
      <c r="C2" s="127"/>
      <c r="D2" s="127"/>
      <c r="E2" s="127"/>
      <c r="F2" s="127"/>
      <c r="G2" s="127"/>
      <c r="H2" s="127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October 31, 2021</v>
      </c>
      <c r="B6" s="25"/>
      <c r="C6" s="25"/>
      <c r="D6" s="68"/>
      <c r="E6" s="68"/>
      <c r="F6" s="68"/>
      <c r="G6" s="25"/>
      <c r="H6" s="25"/>
      <c r="I6" s="25"/>
    </row>
    <row r="7" spans="1:9" ht="18" customHeight="1" x14ac:dyDescent="0.25">
      <c r="B7" s="27"/>
      <c r="C7" s="27"/>
      <c r="D7" s="56"/>
      <c r="E7" s="56"/>
      <c r="F7" s="57"/>
      <c r="G7" s="57"/>
      <c r="H7" s="27"/>
    </row>
    <row r="8" spans="1:9" ht="18" customHeight="1" x14ac:dyDescent="0.25">
      <c r="A8" s="58" t="s">
        <v>41</v>
      </c>
      <c r="B8" s="59"/>
      <c r="C8" s="59"/>
      <c r="D8" s="60"/>
      <c r="E8" s="60"/>
      <c r="F8" s="61"/>
      <c r="G8" s="61"/>
      <c r="H8" s="59"/>
      <c r="I8" s="62"/>
    </row>
    <row r="9" spans="1:9" ht="18" customHeight="1" x14ac:dyDescent="0.3">
      <c r="B9" s="27"/>
      <c r="C9" s="27"/>
      <c r="D9" s="56"/>
      <c r="E9" s="56"/>
      <c r="F9" s="63"/>
      <c r="G9" s="63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49"/>
      <c r="H10" s="24"/>
      <c r="I10" s="25"/>
    </row>
    <row r="11" spans="1:9" ht="18" customHeight="1" x14ac:dyDescent="0.25">
      <c r="A11" s="39"/>
      <c r="B11" s="31" t="s">
        <v>4</v>
      </c>
      <c r="C11" s="50"/>
      <c r="D11" s="31" t="s">
        <v>25</v>
      </c>
      <c r="E11" s="51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1">
        <f>REC_programs_detail!B23</f>
        <v>2758</v>
      </c>
      <c r="C13" s="42">
        <f>IF(B13=0,0,B13/'Summary Load Customers '!$B$22)</f>
        <v>8.9805248299463705E-3</v>
      </c>
      <c r="D13" s="41">
        <f>REC_programs_detail!C23</f>
        <v>30</v>
      </c>
      <c r="E13" s="42">
        <f>IF(D13=0,0,D13/('Summary Load Customers '!$D$22+'Summary Load Customers '!$F$22))</f>
        <v>7.7821011673151756E-4</v>
      </c>
      <c r="F13" s="41">
        <f>B13+D13</f>
        <v>2788</v>
      </c>
      <c r="G13" s="42">
        <f>IF(F13=0,0,F13/'Summary Load Customers '!$H$22)</f>
        <v>8.065752663752427E-3</v>
      </c>
    </row>
    <row r="14" spans="1:9" ht="15.75" customHeight="1" x14ac:dyDescent="0.25">
      <c r="G14" s="48"/>
      <c r="H14" s="27"/>
    </row>
    <row r="15" spans="1:9" ht="15.75" customHeight="1" x14ac:dyDescent="0.25">
      <c r="A15" s="97" t="str">
        <f>"As the above table shows, "&amp;TEXT(F13,"0,000")&amp;" of UI's customers, or "&amp;TEXT(G13,"0.0%")&amp;" are participating in the CTCleanEnergyOptions Program."</f>
        <v>As the above table shows, 2,788 of UI's customers, or 0.8% are participating in the CTCleanEnergyOptions Program.</v>
      </c>
      <c r="G15" s="48"/>
      <c r="H15" s="27"/>
    </row>
    <row r="16" spans="1:9" ht="15.75" customHeight="1" x14ac:dyDescent="0.25">
      <c r="G16" s="48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49"/>
      <c r="H17" s="24"/>
      <c r="I17" s="25"/>
    </row>
    <row r="18" spans="1:9" ht="18" customHeight="1" x14ac:dyDescent="0.25">
      <c r="A18" s="39"/>
      <c r="B18" s="31" t="s">
        <v>4</v>
      </c>
      <c r="C18" s="50"/>
      <c r="D18" s="31" t="s">
        <v>25</v>
      </c>
      <c r="E18" s="51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1">
        <f>REC_programs_detail!B29</f>
        <v>533</v>
      </c>
      <c r="C20" s="42">
        <f>IF(B20=0,0,B20/'Summary Load Customers '!$B$22)</f>
        <v>1.7355401502398172E-3</v>
      </c>
      <c r="D20" s="41">
        <f>REC_programs_detail!C29</f>
        <v>55</v>
      </c>
      <c r="E20" s="42">
        <f>IF(D20=0,0,D20/('Summary Load Customers '!$D$22+'Summary Load Customers '!$F$22))</f>
        <v>1.4267185473411154E-3</v>
      </c>
      <c r="F20" s="41">
        <f>B20+D20</f>
        <v>588</v>
      </c>
      <c r="G20" s="42">
        <f>IF(F20=0,0,F20/'Summary Load Customers '!$H$22)</f>
        <v>1.7010984814513725E-3</v>
      </c>
    </row>
    <row r="21" spans="1:9" ht="18" customHeight="1" x14ac:dyDescent="0.2">
      <c r="B21" s="47"/>
      <c r="C21" s="46"/>
      <c r="D21" s="47"/>
      <c r="E21" s="46"/>
      <c r="F21" s="47"/>
      <c r="G21" s="46"/>
      <c r="H21" s="47"/>
      <c r="I21" s="46"/>
    </row>
    <row r="22" spans="1:9" ht="18" customHeight="1" x14ac:dyDescent="0.2">
      <c r="A22" s="97" t="str">
        <f>"As the above table shows, "&amp;TEXT(F20,"0,000")&amp;" of UI's customers, or "&amp;TEXT(G20,"0.0%")&amp;" are participating in the REC only program."</f>
        <v>As the above table shows, 0,588 of UI's customers, or 0.2% are participating in the REC only program.</v>
      </c>
      <c r="B22" s="47"/>
      <c r="C22" s="46"/>
      <c r="D22" s="47"/>
      <c r="E22" s="46"/>
      <c r="F22" s="47"/>
      <c r="G22" s="46"/>
      <c r="H22" s="47"/>
      <c r="I22" s="46"/>
    </row>
    <row r="23" spans="1:9" ht="14.25" x14ac:dyDescent="0.2">
      <c r="A23" s="44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49"/>
      <c r="H24" s="24"/>
      <c r="I24" s="25"/>
    </row>
    <row r="25" spans="1:9" ht="15" x14ac:dyDescent="0.25">
      <c r="A25" s="39"/>
      <c r="B25" s="31" t="s">
        <v>4</v>
      </c>
      <c r="C25" s="50"/>
      <c r="D25" s="31" t="s">
        <v>25</v>
      </c>
      <c r="E25" s="51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1">
        <f>B13+B20</f>
        <v>3291</v>
      </c>
      <c r="C27" s="42">
        <f>IF(B27=0,0,B27/'Summary Load Customers '!$B$22)</f>
        <v>1.0716064980186188E-2</v>
      </c>
      <c r="D27" s="41">
        <f>D13+D20</f>
        <v>85</v>
      </c>
      <c r="E27" s="42">
        <f>IF(D27=0,0,D27/('Summary Load Customers '!$D$22+'Summary Load Customers '!$F$22))</f>
        <v>2.2049286640726329E-3</v>
      </c>
      <c r="F27" s="41">
        <f>B27+D27</f>
        <v>3376</v>
      </c>
      <c r="G27" s="42">
        <f>IF(F27=0,0,F27/'Summary Load Customers '!$H$22)</f>
        <v>9.7668511452037986E-3</v>
      </c>
    </row>
    <row r="28" spans="1:9" ht="15" x14ac:dyDescent="0.25">
      <c r="G28" s="48"/>
      <c r="H28" s="27"/>
    </row>
    <row r="29" spans="1:9" ht="15" x14ac:dyDescent="0.25">
      <c r="A29" s="97" t="str">
        <f>"As the above table shows, "&amp;TEXT(F27,"0,000")&amp;" of UI's customers, or "&amp;TEXT(G27,"0.0%")&amp;" are participating in the combined REC programs."</f>
        <v>As the above table shows, 3,376 of UI's customers, or 1.0% are participating in the combined REC programs.</v>
      </c>
      <c r="G29" s="48"/>
      <c r="H29" s="27"/>
    </row>
    <row r="31" spans="1:9" ht="13.5" x14ac:dyDescent="0.2">
      <c r="A31" s="64" t="s">
        <v>31</v>
      </c>
    </row>
    <row r="32" spans="1:9" ht="13.5" x14ac:dyDescent="0.2">
      <c r="A32" s="64"/>
    </row>
    <row r="33" spans="1:1" ht="13.5" x14ac:dyDescent="0.2">
      <c r="A33" s="64" t="s">
        <v>53</v>
      </c>
    </row>
    <row r="34" spans="1:1" x14ac:dyDescent="0.2">
      <c r="A34" s="65" t="s">
        <v>51</v>
      </c>
    </row>
    <row r="36" spans="1:1" x14ac:dyDescent="0.2">
      <c r="A36" s="65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22" zoomScale="110" zoomScaleNormal="110" workbookViewId="0">
      <selection activeCell="A37" sqref="A37"/>
    </sheetView>
  </sheetViews>
  <sheetFormatPr defaultColWidth="9.140625" defaultRowHeight="11.25" x14ac:dyDescent="0.2"/>
  <cols>
    <col min="1" max="1" width="28" style="72" customWidth="1"/>
    <col min="2" max="3" width="19.140625" style="72" customWidth="1"/>
    <col min="4" max="4" width="20.28515625" style="72" customWidth="1"/>
    <col min="5" max="5" width="7.140625" style="72" customWidth="1"/>
    <col min="6" max="6" width="23.28515625" style="72" bestFit="1" customWidth="1"/>
    <col min="7" max="7" width="10.42578125" style="72" customWidth="1"/>
    <col min="8" max="16384" width="9.140625" style="72"/>
  </cols>
  <sheetData>
    <row r="1" spans="1:9" s="71" customFormat="1" ht="15" customHeight="1" x14ac:dyDescent="0.2">
      <c r="A1" s="128" t="str">
        <f>'Summary Load Customers '!A1</f>
        <v>The United Illuminating Company</v>
      </c>
      <c r="B1" s="128"/>
      <c r="C1" s="128"/>
      <c r="D1" s="128"/>
      <c r="E1" s="69"/>
      <c r="F1" s="69"/>
      <c r="G1" s="70"/>
    </row>
    <row r="2" spans="1:9" s="8" customFormat="1" ht="18" customHeight="1" x14ac:dyDescent="0.2">
      <c r="A2" s="129" t="s">
        <v>55</v>
      </c>
      <c r="B2" s="129"/>
      <c r="C2" s="129"/>
      <c r="D2" s="129"/>
      <c r="E2" s="23"/>
      <c r="F2" s="23"/>
      <c r="G2" s="24"/>
      <c r="H2" s="25"/>
      <c r="I2" s="25"/>
    </row>
    <row r="3" spans="1:9" s="71" customFormat="1" ht="15" customHeight="1" x14ac:dyDescent="0.2">
      <c r="A3" s="128" t="s">
        <v>34</v>
      </c>
      <c r="B3" s="128"/>
      <c r="C3" s="128"/>
      <c r="D3" s="128"/>
      <c r="E3" s="69"/>
      <c r="F3" s="69"/>
      <c r="G3" s="70"/>
    </row>
    <row r="4" spans="1:9" s="71" customFormat="1" ht="15" customHeight="1" x14ac:dyDescent="0.2">
      <c r="A4" s="128" t="s">
        <v>1</v>
      </c>
      <c r="B4" s="128"/>
      <c r="C4" s="128"/>
      <c r="D4" s="128"/>
      <c r="E4" s="69"/>
      <c r="F4" s="69"/>
      <c r="G4" s="70"/>
    </row>
    <row r="5" spans="1:9" s="71" customFormat="1" ht="15" customHeight="1" x14ac:dyDescent="0.2">
      <c r="A5" s="128" t="str">
        <f>'Summary Load Customers '!A6</f>
        <v>Data as of October 31, 2021</v>
      </c>
      <c r="B5" s="128"/>
      <c r="C5" s="128"/>
      <c r="D5" s="128"/>
      <c r="E5" s="69"/>
      <c r="F5" s="69"/>
      <c r="G5" s="70"/>
    </row>
    <row r="6" spans="1:9" x14ac:dyDescent="0.2">
      <c r="C6" s="73"/>
      <c r="D6" s="73"/>
      <c r="E6" s="73"/>
      <c r="F6" s="73"/>
      <c r="G6" s="73"/>
    </row>
    <row r="7" spans="1:9" s="79" customFormat="1" ht="22.5" x14ac:dyDescent="0.2">
      <c r="A7" s="74" t="s">
        <v>36</v>
      </c>
      <c r="B7" s="75" t="s">
        <v>4</v>
      </c>
      <c r="C7" s="74" t="s">
        <v>5</v>
      </c>
      <c r="D7" s="74" t="s">
        <v>32</v>
      </c>
      <c r="E7" s="76"/>
      <c r="F7" s="76"/>
      <c r="G7" s="77"/>
      <c r="H7" s="78"/>
    </row>
    <row r="8" spans="1:9" x14ac:dyDescent="0.2">
      <c r="A8" s="80" t="s">
        <v>35</v>
      </c>
      <c r="B8" s="81"/>
      <c r="C8" s="82"/>
      <c r="D8" s="83">
        <f>IF(C8=0,0,C8)</f>
        <v>0</v>
      </c>
      <c r="E8" s="73"/>
      <c r="F8" s="73"/>
      <c r="G8" s="84"/>
      <c r="H8" s="73"/>
    </row>
    <row r="9" spans="1:9" x14ac:dyDescent="0.2">
      <c r="A9" s="80" t="s">
        <v>14</v>
      </c>
      <c r="B9" s="82">
        <v>103</v>
      </c>
      <c r="C9" s="82">
        <v>2</v>
      </c>
      <c r="D9" s="83">
        <f>SUM(B9:C9)</f>
        <v>105</v>
      </c>
      <c r="E9" s="85"/>
      <c r="F9" s="85"/>
      <c r="G9" s="84"/>
      <c r="H9" s="73"/>
    </row>
    <row r="10" spans="1:9" x14ac:dyDescent="0.2">
      <c r="A10" s="80" t="s">
        <v>15</v>
      </c>
      <c r="B10" s="82">
        <v>2259</v>
      </c>
      <c r="C10" s="82">
        <v>27</v>
      </c>
      <c r="D10" s="83">
        <f>SUM(B10:C10)</f>
        <v>2286</v>
      </c>
      <c r="E10" s="86"/>
      <c r="F10" s="87"/>
      <c r="G10" s="84"/>
      <c r="H10" s="73"/>
    </row>
    <row r="11" spans="1:9" x14ac:dyDescent="0.2">
      <c r="A11" s="88" t="s">
        <v>6</v>
      </c>
      <c r="B11" s="89">
        <f>IF(B9+B10=0,0,B9+B10)</f>
        <v>2362</v>
      </c>
      <c r="C11" s="89">
        <f>IF(SUM(C8:C10)=0,0,SUM(C8:C10))</f>
        <v>29</v>
      </c>
      <c r="D11" s="89">
        <f>IF(SUM(D8:D10)=0,0,SUM(D8:D10))</f>
        <v>2391</v>
      </c>
      <c r="E11" s="86"/>
      <c r="F11" s="87"/>
      <c r="G11" s="84"/>
      <c r="H11" s="73"/>
    </row>
    <row r="12" spans="1:9" x14ac:dyDescent="0.2">
      <c r="A12" s="73"/>
      <c r="B12" s="90"/>
      <c r="C12" s="90"/>
      <c r="D12" s="90"/>
      <c r="E12" s="86"/>
      <c r="F12" s="87"/>
      <c r="G12" s="91"/>
      <c r="H12" s="73"/>
    </row>
    <row r="13" spans="1:9" ht="22.5" x14ac:dyDescent="0.2">
      <c r="A13" s="121" t="s">
        <v>39</v>
      </c>
      <c r="B13" s="74" t="s">
        <v>4</v>
      </c>
      <c r="C13" s="74" t="str">
        <f>C7</f>
        <v>Business</v>
      </c>
      <c r="D13" s="74" t="s">
        <v>32</v>
      </c>
      <c r="E13" s="92"/>
      <c r="F13" s="93"/>
      <c r="G13" s="91"/>
      <c r="H13" s="73"/>
    </row>
    <row r="14" spans="1:9" x14ac:dyDescent="0.2">
      <c r="A14" s="80" t="s">
        <v>35</v>
      </c>
      <c r="B14" s="81"/>
      <c r="C14" s="82"/>
      <c r="D14" s="83">
        <f>IF(C14=0,0,C14)</f>
        <v>0</v>
      </c>
      <c r="E14" s="73"/>
      <c r="F14" s="73"/>
      <c r="G14" s="91"/>
      <c r="H14" s="73"/>
    </row>
    <row r="15" spans="1:9" x14ac:dyDescent="0.2">
      <c r="A15" s="80" t="s">
        <v>14</v>
      </c>
      <c r="B15" s="82">
        <v>2</v>
      </c>
      <c r="C15" s="82">
        <v>0</v>
      </c>
      <c r="D15" s="83">
        <f>SUM(B15:C15)</f>
        <v>2</v>
      </c>
      <c r="E15" s="85"/>
      <c r="F15" s="85"/>
      <c r="G15" s="84"/>
      <c r="H15" s="73"/>
    </row>
    <row r="16" spans="1:9" x14ac:dyDescent="0.2">
      <c r="A16" s="80" t="s">
        <v>15</v>
      </c>
      <c r="B16" s="82">
        <v>394</v>
      </c>
      <c r="C16" s="82">
        <v>1</v>
      </c>
      <c r="D16" s="83">
        <f>SUM(B16:C16)</f>
        <v>395</v>
      </c>
      <c r="E16" s="86"/>
      <c r="F16" s="87"/>
      <c r="G16" s="84"/>
      <c r="H16" s="73"/>
    </row>
    <row r="17" spans="1:8" x14ac:dyDescent="0.2">
      <c r="A17" s="88" t="str">
        <f>A11</f>
        <v>Total</v>
      </c>
      <c r="B17" s="89">
        <f>IF(B15+B16=0,0,B15+B16)</f>
        <v>396</v>
      </c>
      <c r="C17" s="89">
        <f>IF(SUM(C14:C16)=0,0,SUM(C14:C16))</f>
        <v>1</v>
      </c>
      <c r="D17" s="89">
        <f>IF(SUM(D14:D16)=0,0,SUM(D14:D16))</f>
        <v>397</v>
      </c>
      <c r="E17" s="86"/>
      <c r="F17" s="87"/>
      <c r="G17" s="84"/>
      <c r="H17" s="73"/>
    </row>
    <row r="18" spans="1:8" x14ac:dyDescent="0.2">
      <c r="A18" s="73"/>
      <c r="B18" s="73"/>
      <c r="C18" s="73"/>
      <c r="D18" s="96"/>
      <c r="E18" s="86"/>
      <c r="F18" s="87"/>
      <c r="G18" s="91"/>
      <c r="H18" s="73"/>
    </row>
    <row r="19" spans="1:8" ht="22.5" x14ac:dyDescent="0.2">
      <c r="A19" s="74" t="s">
        <v>40</v>
      </c>
      <c r="B19" s="74" t="s">
        <v>4</v>
      </c>
      <c r="C19" s="74" t="str">
        <f>C7</f>
        <v>Business</v>
      </c>
      <c r="D19" s="74" t="s">
        <v>32</v>
      </c>
      <c r="E19" s="92"/>
      <c r="F19" s="93"/>
      <c r="G19" s="91"/>
      <c r="H19" s="73"/>
    </row>
    <row r="20" spans="1:8" x14ac:dyDescent="0.2">
      <c r="A20" s="80" t="s">
        <v>35</v>
      </c>
      <c r="B20" s="81"/>
      <c r="C20" s="94">
        <f t="shared" ref="C20:D21" si="0">IF(C8+C14=0,0,C8+C14)</f>
        <v>0</v>
      </c>
      <c r="D20" s="83"/>
      <c r="E20" s="91"/>
      <c r="F20" s="91"/>
      <c r="G20" s="91"/>
      <c r="H20" s="73"/>
    </row>
    <row r="21" spans="1:8" x14ac:dyDescent="0.2">
      <c r="A21" s="80" t="s">
        <v>14</v>
      </c>
      <c r="B21" s="94">
        <f>IF(B9+B15=0,0,B9+B15)</f>
        <v>105</v>
      </c>
      <c r="C21" s="94">
        <f>IF(C9+C15=0,0,C9+C15)</f>
        <v>2</v>
      </c>
      <c r="D21" s="83">
        <f t="shared" si="0"/>
        <v>107</v>
      </c>
      <c r="E21" s="84"/>
      <c r="F21" s="91"/>
      <c r="G21" s="91"/>
      <c r="H21" s="73"/>
    </row>
    <row r="22" spans="1:8" x14ac:dyDescent="0.2">
      <c r="A22" s="80" t="s">
        <v>15</v>
      </c>
      <c r="B22" s="94">
        <f>IF(B10+B16=0,0,B10+B16)</f>
        <v>2653</v>
      </c>
      <c r="C22" s="94">
        <f>IF(C10+C16=0,0,C10+C16)</f>
        <v>28</v>
      </c>
      <c r="D22" s="83">
        <f>IF(D10+D16=0,0,D10+D16)</f>
        <v>2681</v>
      </c>
      <c r="E22" s="73"/>
      <c r="F22" s="91"/>
      <c r="G22" s="91"/>
      <c r="H22" s="73"/>
    </row>
    <row r="23" spans="1:8" x14ac:dyDescent="0.2">
      <c r="A23" s="88" t="str">
        <f>A11</f>
        <v>Total</v>
      </c>
      <c r="B23" s="89">
        <f>IF(B21+B22=0,0,B21+B22)</f>
        <v>2758</v>
      </c>
      <c r="C23" s="89">
        <f>IF(SUM(C20:C22)=0,0,SUM(C20:C22))</f>
        <v>30</v>
      </c>
      <c r="D23" s="89">
        <f>SUM(D20:D22)</f>
        <v>2788</v>
      </c>
      <c r="E23" s="73"/>
      <c r="F23" s="91"/>
      <c r="G23" s="91"/>
      <c r="H23" s="73"/>
    </row>
    <row r="24" spans="1:8" x14ac:dyDescent="0.2">
      <c r="B24" s="73"/>
      <c r="C24" s="73"/>
      <c r="E24" s="73"/>
      <c r="F24" s="91"/>
      <c r="G24" s="91"/>
      <c r="H24" s="73"/>
    </row>
    <row r="25" spans="1:8" ht="22.5" x14ac:dyDescent="0.2">
      <c r="A25" s="121" t="s">
        <v>37</v>
      </c>
      <c r="B25" s="74" t="s">
        <v>4</v>
      </c>
      <c r="C25" s="74" t="s">
        <v>5</v>
      </c>
      <c r="D25" s="74" t="s">
        <v>32</v>
      </c>
    </row>
    <row r="26" spans="1:8" x14ac:dyDescent="0.2">
      <c r="A26" s="80" t="s">
        <v>35</v>
      </c>
      <c r="B26" s="81"/>
      <c r="C26" s="94">
        <f>IF(C14+C20=0,0,C14+C20)</f>
        <v>0</v>
      </c>
      <c r="D26" s="83">
        <f>IF(C26=0,0,C26)</f>
        <v>0</v>
      </c>
    </row>
    <row r="27" spans="1:8" x14ac:dyDescent="0.2">
      <c r="A27" s="80" t="s">
        <v>14</v>
      </c>
      <c r="B27" s="82">
        <v>156</v>
      </c>
      <c r="C27" s="82">
        <v>11</v>
      </c>
      <c r="D27" s="83">
        <f>SUM(B27:C27)</f>
        <v>167</v>
      </c>
    </row>
    <row r="28" spans="1:8" x14ac:dyDescent="0.2">
      <c r="A28" s="80" t="s">
        <v>15</v>
      </c>
      <c r="B28" s="82">
        <v>377</v>
      </c>
      <c r="C28" s="82">
        <v>44</v>
      </c>
      <c r="D28" s="83">
        <f>SUM(B28:C28)</f>
        <v>421</v>
      </c>
    </row>
    <row r="29" spans="1:8" x14ac:dyDescent="0.2">
      <c r="A29" s="88" t="str">
        <f>A23</f>
        <v>Total</v>
      </c>
      <c r="B29" s="106">
        <f>IF(B27+B28=0,0,B27+B28)</f>
        <v>533</v>
      </c>
      <c r="C29" s="89">
        <f>IF(SUM(C26:C28)=0,0,SUM(C26:C28))</f>
        <v>55</v>
      </c>
      <c r="D29" s="89">
        <f>IF(SUM(D26:D28)=0,0,SUM(D26:D28))</f>
        <v>588</v>
      </c>
    </row>
    <row r="31" spans="1:8" x14ac:dyDescent="0.2">
      <c r="A31" s="74" t="s">
        <v>38</v>
      </c>
      <c r="B31" s="74" t="s">
        <v>4</v>
      </c>
      <c r="C31" s="74" t="str">
        <f>C19</f>
        <v>Business</v>
      </c>
      <c r="D31" s="74" t="s">
        <v>32</v>
      </c>
    </row>
    <row r="32" spans="1:8" x14ac:dyDescent="0.2">
      <c r="A32" s="80" t="s">
        <v>35</v>
      </c>
      <c r="B32" s="81">
        <f>B20+B26</f>
        <v>0</v>
      </c>
      <c r="C32" s="94">
        <f t="shared" ref="C32:D34" si="1">C20+C26</f>
        <v>0</v>
      </c>
      <c r="D32" s="83">
        <f t="shared" si="1"/>
        <v>0</v>
      </c>
    </row>
    <row r="33" spans="1:7" x14ac:dyDescent="0.2">
      <c r="A33" s="80" t="s">
        <v>14</v>
      </c>
      <c r="B33" s="94">
        <f>B21+B27</f>
        <v>261</v>
      </c>
      <c r="C33" s="94">
        <f t="shared" si="1"/>
        <v>13</v>
      </c>
      <c r="D33" s="83">
        <f t="shared" si="1"/>
        <v>274</v>
      </c>
      <c r="E33" s="73"/>
      <c r="F33" s="73"/>
      <c r="G33" s="73"/>
    </row>
    <row r="34" spans="1:7" x14ac:dyDescent="0.2">
      <c r="A34" s="80" t="s">
        <v>15</v>
      </c>
      <c r="B34" s="94">
        <f>B22+B28</f>
        <v>3030</v>
      </c>
      <c r="C34" s="94">
        <f t="shared" si="1"/>
        <v>72</v>
      </c>
      <c r="D34" s="83">
        <f t="shared" si="1"/>
        <v>3102</v>
      </c>
    </row>
    <row r="35" spans="1:7" x14ac:dyDescent="0.2">
      <c r="A35" s="88" t="str">
        <f>A29</f>
        <v>Total</v>
      </c>
      <c r="B35" s="89">
        <f>IF(B33+B34=0,0,B33+B34)</f>
        <v>3291</v>
      </c>
      <c r="C35" s="89">
        <f>IF(SUM(C32:C34)=0,0,SUM(C32:C34))</f>
        <v>85</v>
      </c>
      <c r="D35" s="89">
        <f>SUM(D32:D34)</f>
        <v>3376</v>
      </c>
    </row>
    <row r="37" spans="1:7" x14ac:dyDescent="0.2">
      <c r="A37" s="95" t="str">
        <f>"In summary, "&amp;TEXT($D$23,"0,000")&amp; " of UI's customers are participating in the CTCleanEnergyOptions Program"</f>
        <v>In summary, 2,788 of UI's customers are participating in the CTCleanEnergyOptions Program</v>
      </c>
    </row>
    <row r="38" spans="1:7" x14ac:dyDescent="0.2">
      <c r="A38" s="95" t="str">
        <f>"In summary, "&amp;TEXT($D$29,"000")&amp; " of UI's customers are participating in RECs only with Sterling Planet"</f>
        <v>In summary, 588 of UI's customers are participating in RECs only with Sterling Planet</v>
      </c>
    </row>
    <row r="39" spans="1:7" x14ac:dyDescent="0.2">
      <c r="A39" s="95" t="str">
        <f>"In summary, "&amp;TEXT($D$35,"0,000")&amp; " of UI's customers are participating in all REC programs"</f>
        <v>In summary, 3,376 of UI's customers are participating in all REC programs</v>
      </c>
    </row>
    <row r="41" spans="1:7" x14ac:dyDescent="0.2">
      <c r="A41" s="96" t="s">
        <v>20</v>
      </c>
    </row>
    <row r="42" spans="1:7" x14ac:dyDescent="0.2">
      <c r="A42" s="73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2021-11-09T19:15:28Z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