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agrfil01.amer.iberdrola.local\VolM1\User\WRK_GRP\File_output_data\PURA_reports_filings\06-10-22_Switch_reports_and_letters\Supplier Counts\2021-12\"/>
    </mc:Choice>
  </mc:AlternateContent>
  <xr:revisionPtr revIDLastSave="0" documentId="13_ncr:1_{977844F2-07E5-4DDF-837C-FBE694BD3942}" xr6:coauthVersionLast="45" xr6:coauthVersionMax="45" xr10:uidLastSave="{00000000-0000-0000-0000-000000000000}"/>
  <bookViews>
    <workbookView xWindow="-120" yWindow="-120" windowWidth="20730" windowHeight="11160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7" l="1"/>
  <c r="D21" i="7"/>
  <c r="B21" i="7"/>
  <c r="F20" i="7"/>
  <c r="D20" i="7"/>
  <c r="B20" i="7"/>
  <c r="F12" i="7"/>
  <c r="D12" i="7"/>
  <c r="B12" i="7"/>
  <c r="F11" i="7"/>
  <c r="D11" i="7"/>
  <c r="B11" i="7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 l="1"/>
  <c r="B21" i="5" l="1"/>
  <c r="B22" i="5"/>
  <c r="C22" i="5"/>
  <c r="B32" i="5" l="1"/>
  <c r="C11" i="5" l="1"/>
  <c r="A5" i="6" l="1"/>
  <c r="B33" i="5" l="1"/>
  <c r="C21" i="5"/>
  <c r="C33" i="5" s="1"/>
  <c r="C34" i="5"/>
  <c r="B34" i="5"/>
  <c r="A5" i="5" l="1"/>
  <c r="A6" i="8" l="1"/>
  <c r="B29" i="5"/>
  <c r="B20" i="8" s="1"/>
  <c r="F26" i="8"/>
  <c r="F19" i="8"/>
  <c r="F12" i="8"/>
  <c r="D8" i="5"/>
  <c r="D14" i="5"/>
  <c r="C20" i="5"/>
  <c r="C26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 s="1"/>
  <c r="A1" i="6"/>
  <c r="A1" i="5"/>
  <c r="C17" i="5"/>
  <c r="B11" i="5"/>
  <c r="B17" i="5"/>
  <c r="A22" i="7"/>
  <c r="A21" i="7"/>
  <c r="D10" i="7"/>
  <c r="F10" i="7" s="1"/>
  <c r="H10" i="7" s="1"/>
  <c r="D19" i="7"/>
  <c r="F19" i="7" s="1"/>
  <c r="H19" i="7" s="1"/>
  <c r="A20" i="7"/>
  <c r="A17" i="5"/>
  <c r="C13" i="5"/>
  <c r="C29" i="5" l="1"/>
  <c r="D20" i="8" s="1"/>
  <c r="F20" i="8" s="1"/>
  <c r="D26" i="5"/>
  <c r="D29" i="5" s="1"/>
  <c r="A38" i="5" s="1"/>
  <c r="C32" i="5"/>
  <c r="C20" i="7"/>
  <c r="C21" i="7"/>
  <c r="D22" i="5"/>
  <c r="D34" i="5" s="1"/>
  <c r="D21" i="5"/>
  <c r="D33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3" i="7" l="1"/>
  <c r="G12" i="7" s="1"/>
  <c r="H11" i="7" l="1"/>
  <c r="D13" i="7"/>
  <c r="E12" i="7" s="1"/>
  <c r="G11" i="7"/>
  <c r="E11" i="7" l="1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<sst xmlns="http://schemas.openxmlformats.org/spreadsheetml/2006/main" count="158" uniqueCount="92">
  <si>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</si>
  <si>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</si>
  <si>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</si>
  <si>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</si>
  <si>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</si>
  <si>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</si>
  <si>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</si>
  <si>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</si>
  <si>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</si>
  <si>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</si>
  <si>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</si>
  <si>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</si>
  <si>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</si>
  <si>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</si>
  <si>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</si>
  <si>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</si>
  <si>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</si>
  <si>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</si>
  <si>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</si>
  <si>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</si>
  <si>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</si>
  <si>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</si>
  <si>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</si>
  <si>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</si>
  <si>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</si>
  <si>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</si>
  <si>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</si>
  <si>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</si>
  <si>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</si>
  <si>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</si>
  <si>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</si>
  <si>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</si>
  <si>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</si>
  <si>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</si>
  <si>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</si>
  <si>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</si>
  <si>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</si>
  <si>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</si>
  <si>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</si>
  <si>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</si>
  <si>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</si>
  <si>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</si>
  <si>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</si>
  <si>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</si>
  <si>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</si>
  <si>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</si>
  <si>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</si>
  <si>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</si>
  <si>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</si>
  <si>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</si>
  <si>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</si>
  <si>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</si>
  <si>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</si>
  <si>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</si>
  <si>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</si>
  <si>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</si>
  <si>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Direct Energy Business</t>
  </si>
  <si>
    <t>Totals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</si>
  <si>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</si>
  <si>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</si>
  <si>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</si>
  <si>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</si>
  <si>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</si>
  <si>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</si>
  <si>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</si>
  <si>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</si>
  <si>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</si>
  <si>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</si>
  <si>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</si>
  <si>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</si>
  <si>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</si>
  <si>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</si>
  <si>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</si>
  <si>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</si>
  <si>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</si>
  <si>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</si>
  <si>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</si>
  <si>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</si>
  <si>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</si>
  <si>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</si>
  <si>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</si>
  <si>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</si>
  <si>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</si>
  <si>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</si>
  <si>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</si>
  <si>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</si>
  <si>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</si>
  <si>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</si>
  <si>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MP2 Energy NE LLC</t>
  </si>
  <si>
    <t>EDF Energy Services, LLC</t>
  </si>
  <si>
    <t>National Gas &amp; Electric</t>
  </si>
  <si>
    <t>Data as of December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</si>
</sst>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0" xfId="0" applyNumberFormat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3" fontId="0" fillId="0" borderId="0" xfId="0" applyNumberFormat="1" applyBorder="1" applyAlignment="1">
      <alignment vertical="top"/>
    </xf>
    <xf numFmtId="0" fontId="0" fillId="0" borderId="0" xfId="0" applyNumberFormat="1" applyBorder="1"/>
    <xf numFmtId="164" fontId="9" fillId="0" borderId="0" xfId="2" applyNumberFormat="1" applyFont="1" applyFill="1" applyBorder="1" applyAlignment="1" applyProtection="1">
      <alignment horizontal="center"/>
    </xf>
    <xf numFmtId="0" fontId="1" fillId="2" borderId="2" xfId="0" applyFont="1" applyFill="1" applyBorder="1" applyProtection="1"/>
    <xf numFmtId="0" fontId="0" fillId="0" borderId="18" xfId="0" applyNumberFormat="1" applyBorder="1"/>
    <xf numFmtId="0" fontId="11" fillId="3" borderId="2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Continuous" vertical="center"/>
    </xf>
    <xf numFmtId="164" fontId="4" fillId="0" borderId="8" xfId="2" applyNumberFormat="1" applyFont="1" applyFill="1" applyBorder="1" applyAlignment="1" applyProtection="1">
      <alignment horizontal="center"/>
    </xf>
    <xf numFmtId="9" fontId="4" fillId="0" borderId="8" xfId="2" applyNumberFormat="1" applyFont="1" applyFill="1" applyBorder="1" applyAlignment="1" applyProtection="1">
      <alignment horizontal="center"/>
    </xf>
    <xf numFmtId="3" fontId="4" fillId="0" borderId="7" xfId="0" applyNumberFormat="1" applyFont="1" applyFill="1" applyBorder="1" applyAlignment="1" applyProtection="1">
      <alignment horizontal="center"/>
    </xf>
    <xf numFmtId="3" fontId="6" fillId="0" borderId="7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21_Total/2021_12_%20Month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Customer_count_files/2021/202112_December_2021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29181.871000000003</v>
          </cell>
        </row>
        <row r="25">
          <cell r="H25">
            <v>100233.69499999999</v>
          </cell>
        </row>
        <row r="26">
          <cell r="H26">
            <v>74024.322</v>
          </cell>
        </row>
        <row r="29">
          <cell r="H29">
            <v>145586.764</v>
          </cell>
        </row>
        <row r="30">
          <cell r="H30">
            <v>62853.840999999993</v>
          </cell>
        </row>
        <row r="31">
          <cell r="H31">
            <v>5646.2339999999995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45464</v>
          </cell>
        </row>
        <row r="19">
          <cell r="B19">
            <v>20403</v>
          </cell>
        </row>
        <row r="20">
          <cell r="B20">
            <v>180</v>
          </cell>
        </row>
        <row r="22">
          <cell r="B22">
            <v>262070</v>
          </cell>
        </row>
        <row r="23">
          <cell r="B23">
            <v>18011</v>
          </cell>
        </row>
        <row r="24">
          <cell r="B24">
            <v>31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showGridLines="0" showZeros="0" tabSelected="1" zoomScaleNormal="100" workbookViewId="0">
      <selection activeCell="A7" sqref="A7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 x14ac:dyDescent="0.2">
      <c r="A2" s="22" t="s">
        <v>55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 x14ac:dyDescent="0.2">
      <c r="A3" s="22" t="s">
        <v>33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 x14ac:dyDescent="0.2">
      <c r="A4" s="22" t="s">
        <v>26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 x14ac:dyDescent="0.2">
      <c r="A6" s="107" t="s">
        <v>91</v>
      </c>
      <c r="B6" s="107"/>
      <c r="C6" s="25"/>
      <c r="D6" s="68"/>
      <c r="E6" s="68"/>
      <c r="F6" s="68"/>
      <c r="G6" s="25"/>
      <c r="H6" s="25"/>
      <c r="I6" s="25"/>
    </row>
    <row r="8" spans="1:15" ht="18" customHeight="1" x14ac:dyDescent="0.2">
      <c r="A8" s="28" t="s">
        <v>29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 x14ac:dyDescent="0.2">
      <c r="A9" s="2"/>
      <c r="B9" s="31" t="s">
        <v>30</v>
      </c>
      <c r="C9" s="32"/>
      <c r="D9" s="31" t="s">
        <v>7</v>
      </c>
      <c r="E9" s="33"/>
      <c r="F9" s="31" t="s">
        <v>8</v>
      </c>
      <c r="G9" s="34"/>
      <c r="H9" s="31" t="s">
        <v>32</v>
      </c>
      <c r="I9" s="33"/>
    </row>
    <row r="10" spans="1:15" ht="18" customHeight="1" x14ac:dyDescent="0.2">
      <c r="A10" s="36"/>
      <c r="B10" s="37" t="s">
        <v>9</v>
      </c>
      <c r="C10" s="38" t="s">
        <v>19</v>
      </c>
      <c r="D10" s="37" t="str">
        <f>B10</f>
        <v>MWh</v>
      </c>
      <c r="E10" s="38" t="s">
        <v>19</v>
      </c>
      <c r="F10" s="37" t="str">
        <f>D10</f>
        <v>MWh</v>
      </c>
      <c r="G10" s="38" t="s">
        <v>19</v>
      </c>
      <c r="H10" s="37" t="str">
        <f>F10</f>
        <v>MWh</v>
      </c>
      <c r="I10" s="38" t="s">
        <v>18</v>
      </c>
    </row>
    <row r="11" spans="1:15" ht="18" customHeight="1" x14ac:dyDescent="0.2">
      <c r="A11" s="39" t="s">
        <v>10</v>
      </c>
      <c r="B11" s="66">
        <f>[1]Check!$H$24</f>
        <v>29181.871000000003</v>
      </c>
      <c r="C11" s="123">
        <f>IF(B11=0,0,B11/$B$13)</f>
        <v>0.1669743029119613</v>
      </c>
      <c r="D11" s="66">
        <f>[1]Check!$H$25</f>
        <v>100233.69499999999</v>
      </c>
      <c r="E11" s="123">
        <f>IF(D11=0,0,D11/$D$13)</f>
        <v>0.61460058480496016</v>
      </c>
      <c r="F11" s="66">
        <f>[1]Check!$H$26</f>
        <v>74024.322</v>
      </c>
      <c r="G11" s="123">
        <f>IF(F11=0,0,F11/$F$13)</f>
        <v>0.92913022974259152</v>
      </c>
      <c r="H11" s="125">
        <f>IF(B11+D11+F11=0,0,B11+D11+F11)</f>
        <v>203439.88799999998</v>
      </c>
      <c r="I11" s="40">
        <f>IF(H11=0,0,H11/$H$13)</f>
        <v>0.48724997669430631</v>
      </c>
    </row>
    <row r="12" spans="1:15" ht="18" customHeight="1" x14ac:dyDescent="0.2">
      <c r="A12" s="39" t="s">
        <v>11</v>
      </c>
      <c r="B12" s="126">
        <f>[1]Check!$H$29</f>
        <v>145586.764</v>
      </c>
      <c r="C12" s="123">
        <f>IF(B12=0,0,B12/$B$13)</f>
        <v>0.83302569708803864</v>
      </c>
      <c r="D12" s="126">
        <f>[1]Check!$H$30</f>
        <v>62853.840999999993</v>
      </c>
      <c r="E12" s="123">
        <f>IF(D12=0,0,D12/$D$13)</f>
        <v>0.38539941519503979</v>
      </c>
      <c r="F12" s="126">
        <f>[1]Check!$H$31</f>
        <v>5646.2339999999995</v>
      </c>
      <c r="G12" s="123">
        <f>IF(F12=0,0,F12/$F$13)</f>
        <v>7.0869770257408524E-2</v>
      </c>
      <c r="H12" s="126">
        <f>IF(B12+D12+F12=0,0,B12+D12+F12)</f>
        <v>214086.83899999998</v>
      </c>
      <c r="I12" s="40">
        <f>IF(H12=0,0,H12/$H$13)</f>
        <v>0.51275002330569364</v>
      </c>
    </row>
    <row r="13" spans="1:15" ht="18" customHeight="1" x14ac:dyDescent="0.2">
      <c r="A13" s="104" t="s">
        <v>6</v>
      </c>
      <c r="B13" s="41">
        <f>SUM(B11:B12)</f>
        <v>174768.63500000001</v>
      </c>
      <c r="C13" s="42"/>
      <c r="D13" s="41">
        <f>SUM(D11:D12)</f>
        <v>163087.53599999999</v>
      </c>
      <c r="E13" s="42"/>
      <c r="F13" s="41">
        <f>SUM(F11:F12)</f>
        <v>79670.555999999997</v>
      </c>
      <c r="G13" s="42"/>
      <c r="H13" s="41">
        <f>IF(H11+H12=0,0,H11+H12)</f>
        <v>417526.72699999996</v>
      </c>
      <c r="I13" s="43"/>
    </row>
    <row r="14" spans="1:15" ht="18" customHeight="1" x14ac:dyDescent="0.2">
      <c r="A14" s="97" t="str">
        <f>"As the above table shows, "&amp;TEXT(H11,"0,000")&amp; " MWh, or "&amp;TEXT(I11,"0.0%")&amp;" of UI's total load is served by electric suppliers"</f>
        <v>As the above table shows, 203,440 MWh, or 48.7% of UI's total load is served by electric suppliers</v>
      </c>
      <c r="H14" s="27"/>
      <c r="L14" s="99"/>
      <c r="M14" s="99"/>
      <c r="O14" s="99"/>
    </row>
    <row r="15" spans="1:15" ht="18" customHeight="1" x14ac:dyDescent="0.25">
      <c r="A15" s="97" t="str">
        <f>"while "&amp;TEXT(H12,"0,000")&amp;" MHh, or "&amp;TEXT(I12,"0.0%")&amp;" of the load is provided under Standard Service or Last Resort service through UI."</f>
        <v>while 214,087 MHh, or 51.3% of the load is provided under Standard Service or Last Resort service through UI.</v>
      </c>
      <c r="B15" s="45"/>
      <c r="C15" s="46"/>
      <c r="D15" s="45"/>
      <c r="E15" s="46"/>
      <c r="F15" s="47"/>
      <c r="G15" s="48"/>
      <c r="H15" s="27"/>
    </row>
    <row r="16" spans="1:15" ht="15" x14ac:dyDescent="0.25">
      <c r="G16" s="48"/>
      <c r="H16" s="27"/>
    </row>
    <row r="17" spans="1:17" ht="18" customHeight="1" x14ac:dyDescent="0.2">
      <c r="A17" s="28" t="s">
        <v>28</v>
      </c>
      <c r="B17" s="29"/>
      <c r="C17" s="29"/>
      <c r="D17" s="29"/>
      <c r="E17" s="29"/>
      <c r="F17" s="29"/>
      <c r="G17" s="49"/>
      <c r="H17" s="24"/>
      <c r="I17" s="25"/>
    </row>
    <row r="18" spans="1:17" ht="18" customHeight="1" x14ac:dyDescent="0.25">
      <c r="A18" s="39"/>
      <c r="B18" s="31" t="s">
        <v>30</v>
      </c>
      <c r="C18" s="50"/>
      <c r="D18" s="31" t="s">
        <v>7</v>
      </c>
      <c r="E18" s="51"/>
      <c r="F18" s="31" t="s">
        <v>8</v>
      </c>
      <c r="G18" s="34"/>
      <c r="H18" s="31" t="s">
        <v>32</v>
      </c>
      <c r="I18" s="33"/>
      <c r="O18" s="98"/>
    </row>
    <row r="19" spans="1:17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D19</f>
        <v>Customers</v>
      </c>
      <c r="G19" s="38" t="s">
        <v>19</v>
      </c>
      <c r="H19" s="37" t="str">
        <f>F19</f>
        <v>Customers</v>
      </c>
      <c r="I19" s="38" t="s">
        <v>18</v>
      </c>
    </row>
    <row r="20" spans="1:17" ht="18" customHeight="1" x14ac:dyDescent="0.2">
      <c r="A20" s="39" t="str">
        <f>A11</f>
        <v>Suppliers</v>
      </c>
      <c r="B20" s="66">
        <f>[2]Summary!$B$18</f>
        <v>45464</v>
      </c>
      <c r="C20" s="123">
        <f>IF(B20=0,0,B20/$B$22)</f>
        <v>0.14783406062419113</v>
      </c>
      <c r="D20" s="66">
        <f>[2]Summary!$B$19</f>
        <v>20403</v>
      </c>
      <c r="E20" s="124">
        <f>IF(D20=0,0,D20/$D$22)</f>
        <v>0.53113448222002391</v>
      </c>
      <c r="F20" s="66">
        <f>[2]Summary!$B$20</f>
        <v>180</v>
      </c>
      <c r="G20" s="123">
        <f>IF(F20=0,0,F20/$F$22)</f>
        <v>0.85308056872037918</v>
      </c>
      <c r="H20" s="125">
        <f>IF(B20+D20+F20=0,0,B20+D20+F20)</f>
        <v>66047</v>
      </c>
      <c r="I20" s="40">
        <f>IF(H20=0,0,H20/$H$22)</f>
        <v>0.19079960365034565</v>
      </c>
      <c r="J20" s="52"/>
      <c r="K20" s="52"/>
      <c r="M20" s="99"/>
    </row>
    <row r="21" spans="1:17" ht="18" customHeight="1" x14ac:dyDescent="0.2">
      <c r="A21" s="39" t="str">
        <f>A12</f>
        <v>UI</v>
      </c>
      <c r="B21" s="67">
        <f>[2]Summary!$B$22</f>
        <v>262070</v>
      </c>
      <c r="C21" s="123">
        <f>IF(B21=0,0,B21/$B$22)</f>
        <v>0.85216593937580887</v>
      </c>
      <c r="D21" s="67">
        <f>[2]Summary!$B$23</f>
        <v>18011</v>
      </c>
      <c r="E21" s="124">
        <f>IF(D21=0,0,D21/$D$22)</f>
        <v>0.46886551777997604</v>
      </c>
      <c r="F21" s="67">
        <f>[2]Summary!$B$24</f>
        <v>31</v>
      </c>
      <c r="G21" s="123">
        <f>IF(F21=0,0,F21/$F$22)</f>
        <v>0.14691943127962084</v>
      </c>
      <c r="H21" s="67">
        <f>IF(B21+D21+F21=0,0,B21+D21+F21)</f>
        <v>280112</v>
      </c>
      <c r="I21" s="40">
        <f>IF(H21=0,0,H21/$H$22)</f>
        <v>0.80920039634965435</v>
      </c>
    </row>
    <row r="22" spans="1:17" ht="18" customHeight="1" x14ac:dyDescent="0.2">
      <c r="A22" s="39" t="str">
        <f>A13</f>
        <v>Total</v>
      </c>
      <c r="B22" s="41">
        <f>SUM(B20:B21)</f>
        <v>307534</v>
      </c>
      <c r="C22" s="53"/>
      <c r="D22" s="41">
        <f>SUM(D20:D21)</f>
        <v>38414</v>
      </c>
      <c r="E22" s="42"/>
      <c r="F22" s="41">
        <f>SUM(F20:F21)</f>
        <v>211</v>
      </c>
      <c r="G22" s="42"/>
      <c r="H22" s="41">
        <f>IF(H20+H21=0,0,H20+H21)</f>
        <v>346159</v>
      </c>
      <c r="I22" s="43"/>
      <c r="N22" s="99"/>
      <c r="Q22" s="99"/>
    </row>
    <row r="23" spans="1:17" ht="18" customHeight="1" x14ac:dyDescent="0.25">
      <c r="G23" s="48"/>
      <c r="H23" s="27"/>
    </row>
    <row r="24" spans="1:17" ht="18" customHeight="1" x14ac:dyDescent="0.25">
      <c r="A24" s="97" t="str">
        <f>"As the above table shows, "&amp;TEXT(H20,"0,000")&amp; " of UI's total customers, or "&amp;TEXT(I20,"0.0%")&amp;" are served by electric suppliers"</f>
        <v>As the above table shows, 66,047 of UI's total customers, or 19.1% are served by electric suppliers</v>
      </c>
      <c r="G24" s="48"/>
      <c r="H24" s="27"/>
      <c r="J24" s="99"/>
    </row>
    <row r="25" spans="1:17" ht="18" customHeight="1" x14ac:dyDescent="0.25">
      <c r="A25" s="97" t="str">
        <f>"while "&amp;TEXT(H21,"0,000")&amp;" or "&amp;TEXT(I21,"0.0%")&amp;" of the customers continue to receive Standard Service or Last Resort service through UI."</f>
        <v>while 280,112 or 80.9% of the customers continue to receive Standard Service or Last Resort service through UI.</v>
      </c>
      <c r="B25" s="54"/>
      <c r="C25" s="54"/>
      <c r="D25" s="54"/>
      <c r="E25" s="54"/>
      <c r="F25" s="55"/>
      <c r="G25" s="56"/>
      <c r="H25" s="27"/>
    </row>
    <row r="26" spans="1:17" ht="18" customHeight="1" x14ac:dyDescent="0.25">
      <c r="B26" s="27"/>
      <c r="C26" s="27"/>
      <c r="D26" s="56"/>
      <c r="E26" s="56"/>
      <c r="F26" s="57"/>
      <c r="G26" s="57"/>
      <c r="H26" s="27"/>
    </row>
    <row r="28" spans="1:17" ht="13.5" x14ac:dyDescent="0.2">
      <c r="A28" s="64" t="s">
        <v>27</v>
      </c>
      <c r="I28" s="99"/>
    </row>
    <row r="29" spans="1:17" ht="13.5" x14ac:dyDescent="0.2">
      <c r="A29" s="64" t="s">
        <v>31</v>
      </c>
    </row>
    <row r="30" spans="1:17" ht="13.5" x14ac:dyDescent="0.2">
      <c r="A30" s="64" t="s">
        <v>49</v>
      </c>
    </row>
    <row r="31" spans="1:17" x14ac:dyDescent="0.2">
      <c r="A31" s="65" t="s">
        <v>17</v>
      </c>
    </row>
    <row r="32" spans="1:17" x14ac:dyDescent="0.2">
      <c r="A32" s="65" t="s">
        <v>23</v>
      </c>
    </row>
    <row r="36" spans="1:1" x14ac:dyDescent="0.2">
      <c r="A36" s="99"/>
    </row>
  </sheetData>
  <phoneticPr fontId="0" type="noConversion"/>
  <printOptions horizontalCentered="1"/>
  <pageMargins left="0.75" right="0.5" top="0.5" bottom="0.25" header="0.5" footer="0"/>
  <pageSetup scale="76" orientation="portrait" r:id="rId1"/>
  <headerFooter alignWithMargins="0">
    <oddHeader xml:space="preserve">&amp;RPage 2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showGridLines="0" showZeros="0" zoomScaleNormal="100" workbookViewId="0">
      <selection activeCell="C45" sqref="C45:E45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 x14ac:dyDescent="0.2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 x14ac:dyDescent="0.2">
      <c r="A2" s="127" t="s">
        <v>55</v>
      </c>
      <c r="B2" s="127"/>
      <c r="C2" s="127"/>
      <c r="D2" s="127"/>
      <c r="E2" s="127"/>
      <c r="F2" s="127"/>
      <c r="G2" s="24"/>
      <c r="H2" s="25"/>
      <c r="I2" s="25"/>
    </row>
    <row r="3" spans="1:11" s="8" customFormat="1" ht="18" customHeight="1" x14ac:dyDescent="0.2">
      <c r="A3" s="12" t="s">
        <v>87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 x14ac:dyDescent="0.2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 x14ac:dyDescent="0.2">
      <c r="A5" s="9" t="str">
        <f>'Summary Load Customers '!A6</f>
        <v>Data as of December 31, 2021</v>
      </c>
      <c r="B5" s="122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 x14ac:dyDescent="0.2">
      <c r="A6" s="15"/>
      <c r="B6" s="5"/>
      <c r="C6" s="16"/>
      <c r="D6" s="16"/>
      <c r="E6" s="10"/>
      <c r="F6" s="10"/>
    </row>
    <row r="7" spans="1:11" s="8" customFormat="1" ht="18" customHeight="1" x14ac:dyDescent="0.2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 x14ac:dyDescent="0.2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24</v>
      </c>
    </row>
    <row r="9" spans="1:11" ht="14.25" customHeight="1" x14ac:dyDescent="0.2">
      <c r="A9" s="102">
        <v>1</v>
      </c>
      <c r="B9" t="s">
        <v>50</v>
      </c>
      <c r="C9" s="109">
        <v>4894</v>
      </c>
      <c r="D9" s="110">
        <v>567</v>
      </c>
      <c r="E9" s="111">
        <v>5461</v>
      </c>
      <c r="F9" s="21">
        <f t="shared" ref="F9:F44" si="0">IF(E9=0,"",E9/$E$45)</f>
        <v>8.6035227022087782E-2</v>
      </c>
    </row>
    <row r="10" spans="1:11" ht="14.25" customHeight="1" x14ac:dyDescent="0.2">
      <c r="A10" s="102">
        <v>2</v>
      </c>
      <c r="B10" t="s">
        <v>58</v>
      </c>
      <c r="C10" s="112">
        <v>110</v>
      </c>
      <c r="D10" s="108">
        <v>2645</v>
      </c>
      <c r="E10" s="113">
        <v>2755</v>
      </c>
      <c r="F10" s="21">
        <f t="shared" si="0"/>
        <v>4.3403598323723099E-2</v>
      </c>
    </row>
    <row r="11" spans="1:11" ht="14.25" customHeight="1" x14ac:dyDescent="0.2">
      <c r="A11" s="102">
        <v>3</v>
      </c>
      <c r="B11" t="s">
        <v>59</v>
      </c>
      <c r="C11" s="112">
        <v>15</v>
      </c>
      <c r="D11" s="108">
        <v>172</v>
      </c>
      <c r="E11" s="113">
        <v>187</v>
      </c>
      <c r="F11" s="21">
        <f t="shared" si="0"/>
        <v>2.9460881620821124E-3</v>
      </c>
    </row>
    <row r="12" spans="1:11" ht="14.25" customHeight="1" x14ac:dyDescent="0.2">
      <c r="A12" s="102">
        <v>4</v>
      </c>
      <c r="B12" t="s">
        <v>60</v>
      </c>
      <c r="C12" s="112">
        <v>329</v>
      </c>
      <c r="D12" s="108">
        <v>7</v>
      </c>
      <c r="E12" s="113">
        <v>336</v>
      </c>
      <c r="F12" s="21">
        <f t="shared" si="0"/>
        <v>5.2935060024576989E-3</v>
      </c>
    </row>
    <row r="13" spans="1:11" ht="14.25" customHeight="1" x14ac:dyDescent="0.2">
      <c r="A13" s="102">
        <v>5</v>
      </c>
      <c r="B13" t="s">
        <v>61</v>
      </c>
      <c r="C13" s="112">
        <v>10</v>
      </c>
      <c r="D13" s="108">
        <v>2</v>
      </c>
      <c r="E13" s="113">
        <v>12</v>
      </c>
      <c r="F13" s="21">
        <f t="shared" si="0"/>
        <v>1.8905378580206069E-4</v>
      </c>
    </row>
    <row r="14" spans="1:11" ht="14.25" customHeight="1" x14ac:dyDescent="0.2">
      <c r="A14" s="102">
        <v>6</v>
      </c>
      <c r="B14" t="s">
        <v>62</v>
      </c>
      <c r="C14" s="112">
        <v>277</v>
      </c>
      <c r="D14" s="108">
        <v>54</v>
      </c>
      <c r="E14" s="113">
        <v>331</v>
      </c>
      <c r="F14" s="21">
        <f t="shared" si="0"/>
        <v>5.2147335917068407E-3</v>
      </c>
    </row>
    <row r="15" spans="1:11" ht="14.25" customHeight="1" x14ac:dyDescent="0.2">
      <c r="A15" s="102">
        <v>7</v>
      </c>
      <c r="B15" t="s">
        <v>63</v>
      </c>
      <c r="C15" s="112">
        <v>812</v>
      </c>
      <c r="D15" s="108">
        <v>4808</v>
      </c>
      <c r="E15" s="113">
        <v>5620</v>
      </c>
      <c r="F15" s="21">
        <f t="shared" si="0"/>
        <v>8.8540189683965084E-2</v>
      </c>
    </row>
    <row r="16" spans="1:11" ht="14.25" customHeight="1" x14ac:dyDescent="0.2">
      <c r="A16" s="102">
        <v>8</v>
      </c>
      <c r="B16" t="s">
        <v>64</v>
      </c>
      <c r="C16" s="112">
        <v>11932</v>
      </c>
      <c r="D16" s="108">
        <v>1304</v>
      </c>
      <c r="E16" s="113">
        <v>13236</v>
      </c>
      <c r="F16" s="21">
        <f t="shared" si="0"/>
        <v>0.20852632573967295</v>
      </c>
    </row>
    <row r="17" spans="1:6" ht="14.25" customHeight="1" x14ac:dyDescent="0.2">
      <c r="A17" s="102">
        <v>9</v>
      </c>
      <c r="B17" t="s">
        <v>56</v>
      </c>
      <c r="C17" s="112">
        <v>215</v>
      </c>
      <c r="D17" s="108">
        <v>2103</v>
      </c>
      <c r="E17" s="113">
        <v>2318</v>
      </c>
      <c r="F17" s="21">
        <f t="shared" si="0"/>
        <v>3.6518889624098057E-2</v>
      </c>
    </row>
    <row r="18" spans="1:6" ht="14.25" customHeight="1" x14ac:dyDescent="0.2">
      <c r="A18" s="102">
        <v>10</v>
      </c>
      <c r="B18" t="s">
        <v>65</v>
      </c>
      <c r="C18" s="112">
        <v>4371</v>
      </c>
      <c r="D18" s="108">
        <v>1238</v>
      </c>
      <c r="E18" s="113">
        <v>5609</v>
      </c>
      <c r="F18" s="21">
        <f t="shared" si="0"/>
        <v>8.8366890380313201E-2</v>
      </c>
    </row>
    <row r="19" spans="1:6" ht="14.25" customHeight="1" x14ac:dyDescent="0.2">
      <c r="A19" s="102">
        <v>11</v>
      </c>
      <c r="B19" t="s">
        <v>66</v>
      </c>
      <c r="C19" s="112">
        <v>1024</v>
      </c>
      <c r="D19" s="108">
        <v>275</v>
      </c>
      <c r="E19" s="113">
        <v>1299</v>
      </c>
      <c r="F19" s="21">
        <f t="shared" si="0"/>
        <v>2.0465072313073068E-2</v>
      </c>
    </row>
    <row r="20" spans="1:6" ht="14.25" customHeight="1" x14ac:dyDescent="0.2">
      <c r="A20" s="102">
        <v>12</v>
      </c>
      <c r="B20" t="s">
        <v>89</v>
      </c>
      <c r="C20" s="112">
        <v>473</v>
      </c>
      <c r="D20" s="108">
        <v>295</v>
      </c>
      <c r="E20" s="113">
        <v>768</v>
      </c>
      <c r="F20" s="21">
        <f t="shared" si="0"/>
        <v>1.2099442291331884E-2</v>
      </c>
    </row>
    <row r="21" spans="1:6" ht="14.25" customHeight="1" x14ac:dyDescent="0.2">
      <c r="A21" s="102">
        <v>13</v>
      </c>
      <c r="B21" t="s">
        <v>67</v>
      </c>
      <c r="C21" s="112">
        <v>16</v>
      </c>
      <c r="D21" s="108">
        <v>130</v>
      </c>
      <c r="E21" s="113">
        <v>146</v>
      </c>
      <c r="F21" s="21">
        <f t="shared" si="0"/>
        <v>2.3001543939250718E-3</v>
      </c>
    </row>
    <row r="22" spans="1:6" ht="14.25" customHeight="1" x14ac:dyDescent="0.2">
      <c r="A22" s="102">
        <v>14</v>
      </c>
      <c r="B22" t="s">
        <v>68</v>
      </c>
      <c r="C22" s="112">
        <v>293</v>
      </c>
      <c r="D22" s="108">
        <v>69</v>
      </c>
      <c r="E22" s="113">
        <v>362</v>
      </c>
      <c r="F22" s="21">
        <f t="shared" si="0"/>
        <v>5.7031225383621644E-3</v>
      </c>
    </row>
    <row r="23" spans="1:6" ht="14.25" customHeight="1" x14ac:dyDescent="0.2">
      <c r="A23" s="102">
        <v>15</v>
      </c>
      <c r="B23" t="s">
        <v>69</v>
      </c>
      <c r="C23" s="112">
        <v>34</v>
      </c>
      <c r="D23" s="108"/>
      <c r="E23" s="113">
        <v>34</v>
      </c>
      <c r="F23" s="21">
        <f t="shared" si="0"/>
        <v>5.3565239310583864E-4</v>
      </c>
    </row>
    <row r="24" spans="1:6" ht="14.25" customHeight="1" x14ac:dyDescent="0.2">
      <c r="A24" s="102">
        <v>16</v>
      </c>
      <c r="B24" t="s">
        <v>70</v>
      </c>
      <c r="C24" s="112">
        <v>731</v>
      </c>
      <c r="D24" s="108">
        <v>1156</v>
      </c>
      <c r="E24" s="113">
        <v>1887</v>
      </c>
      <c r="F24" s="21">
        <f t="shared" si="0"/>
        <v>2.9728707817374043E-2</v>
      </c>
    </row>
    <row r="25" spans="1:6" ht="14.25" customHeight="1" x14ac:dyDescent="0.2">
      <c r="A25" s="102">
        <v>17</v>
      </c>
      <c r="B25" t="s">
        <v>71</v>
      </c>
      <c r="C25" s="112">
        <v>52</v>
      </c>
      <c r="D25" s="108">
        <v>123</v>
      </c>
      <c r="E25" s="113">
        <v>175</v>
      </c>
      <c r="F25" s="21">
        <f t="shared" si="0"/>
        <v>2.7570343762800516E-3</v>
      </c>
    </row>
    <row r="26" spans="1:6" ht="14.25" customHeight="1" x14ac:dyDescent="0.2">
      <c r="A26" s="102">
        <v>18</v>
      </c>
      <c r="B26" t="s">
        <v>12</v>
      </c>
      <c r="C26" s="112">
        <v>1</v>
      </c>
      <c r="D26" s="108"/>
      <c r="E26" s="113">
        <v>1</v>
      </c>
      <c r="F26" s="21">
        <f t="shared" si="0"/>
        <v>1.5754482150171725E-5</v>
      </c>
    </row>
    <row r="27" spans="1:6" ht="14.25" customHeight="1" x14ac:dyDescent="0.2">
      <c r="A27" s="102">
        <v>19</v>
      </c>
      <c r="B27" t="s">
        <v>72</v>
      </c>
      <c r="C27" s="112">
        <v>3518</v>
      </c>
      <c r="D27" s="108">
        <v>228</v>
      </c>
      <c r="E27" s="113">
        <v>3746</v>
      </c>
      <c r="F27" s="21">
        <f t="shared" si="0"/>
        <v>5.9016290134543278E-2</v>
      </c>
    </row>
    <row r="28" spans="1:6" ht="14.25" customHeight="1" x14ac:dyDescent="0.2">
      <c r="A28" s="102">
        <v>20</v>
      </c>
      <c r="B28" t="s">
        <v>73</v>
      </c>
      <c r="C28" s="112"/>
      <c r="D28" s="108">
        <v>148</v>
      </c>
      <c r="E28" s="113">
        <v>148</v>
      </c>
      <c r="F28" s="21">
        <f t="shared" si="0"/>
        <v>2.3316633582254149E-3</v>
      </c>
    </row>
    <row r="29" spans="1:6" ht="14.25" customHeight="1" x14ac:dyDescent="0.2">
      <c r="A29" s="102">
        <v>21</v>
      </c>
      <c r="B29" t="s">
        <v>90</v>
      </c>
      <c r="C29" s="112">
        <v>60</v>
      </c>
      <c r="D29" s="108"/>
      <c r="E29" s="113">
        <v>60</v>
      </c>
      <c r="F29" s="21">
        <f t="shared" si="0"/>
        <v>9.4526892901030345E-4</v>
      </c>
    </row>
    <row r="30" spans="1:6" ht="14.25" customHeight="1" x14ac:dyDescent="0.2">
      <c r="A30" s="102">
        <v>22</v>
      </c>
      <c r="B30" t="s">
        <v>74</v>
      </c>
      <c r="C30" s="112">
        <v>48</v>
      </c>
      <c r="D30" s="108">
        <v>606</v>
      </c>
      <c r="E30" s="113">
        <v>654</v>
      </c>
      <c r="F30" s="21">
        <f t="shared" si="0"/>
        <v>1.0303431326212307E-2</v>
      </c>
    </row>
    <row r="31" spans="1:6" ht="14.25" customHeight="1" x14ac:dyDescent="0.2">
      <c r="A31" s="102">
        <v>23</v>
      </c>
      <c r="B31" t="s">
        <v>75</v>
      </c>
      <c r="C31" s="112">
        <v>3569</v>
      </c>
      <c r="D31" s="108">
        <v>135</v>
      </c>
      <c r="E31" s="113">
        <v>3704</v>
      </c>
      <c r="F31" s="21">
        <f t="shared" si="0"/>
        <v>5.8354601884236065E-2</v>
      </c>
    </row>
    <row r="32" spans="1:6" ht="14.25" customHeight="1" x14ac:dyDescent="0.2">
      <c r="A32" s="102">
        <v>24</v>
      </c>
      <c r="B32" t="s">
        <v>76</v>
      </c>
      <c r="C32" s="112">
        <v>656</v>
      </c>
      <c r="D32" s="108">
        <v>98</v>
      </c>
      <c r="E32" s="113">
        <v>754</v>
      </c>
      <c r="F32" s="21">
        <f t="shared" si="0"/>
        <v>1.187887954122948E-2</v>
      </c>
    </row>
    <row r="33" spans="1:10" ht="14.25" customHeight="1" x14ac:dyDescent="0.2">
      <c r="A33" s="102">
        <v>25</v>
      </c>
      <c r="B33" t="s">
        <v>77</v>
      </c>
      <c r="C33" s="112">
        <v>2189</v>
      </c>
      <c r="D33" s="108">
        <v>485</v>
      </c>
      <c r="E33" s="113">
        <v>2674</v>
      </c>
      <c r="F33" s="21">
        <f t="shared" si="0"/>
        <v>4.2127485269559187E-2</v>
      </c>
    </row>
    <row r="34" spans="1:10" ht="14.25" customHeight="1" x14ac:dyDescent="0.2">
      <c r="A34" s="102">
        <v>26</v>
      </c>
      <c r="B34" t="s">
        <v>78</v>
      </c>
      <c r="C34" s="112">
        <v>50</v>
      </c>
      <c r="D34" s="108">
        <v>46</v>
      </c>
      <c r="E34" s="113">
        <v>96</v>
      </c>
      <c r="F34" s="21">
        <f t="shared" si="0"/>
        <v>1.5124302864164855E-3</v>
      </c>
    </row>
    <row r="35" spans="1:10" ht="14.25" customHeight="1" x14ac:dyDescent="0.2">
      <c r="A35" s="102">
        <v>27</v>
      </c>
      <c r="B35" t="s">
        <v>79</v>
      </c>
      <c r="C35" s="112">
        <v>7</v>
      </c>
      <c r="D35" s="108">
        <v>22</v>
      </c>
      <c r="E35" s="113">
        <v>29</v>
      </c>
      <c r="F35" s="21">
        <f t="shared" si="0"/>
        <v>4.5687998235498001E-4</v>
      </c>
    </row>
    <row r="36" spans="1:10" ht="14.25" customHeight="1" x14ac:dyDescent="0.2">
      <c r="A36" s="102">
        <v>28</v>
      </c>
      <c r="B36" t="s">
        <v>80</v>
      </c>
      <c r="C36" s="112">
        <v>548</v>
      </c>
      <c r="D36" s="108">
        <v>343</v>
      </c>
      <c r="E36" s="113">
        <v>891</v>
      </c>
      <c r="F36" s="21">
        <f t="shared" si="0"/>
        <v>1.4037243595803005E-2</v>
      </c>
    </row>
    <row r="37" spans="1:10" ht="14.25" customHeight="1" x14ac:dyDescent="0.2">
      <c r="A37" s="102">
        <v>29</v>
      </c>
      <c r="B37" t="s">
        <v>81</v>
      </c>
      <c r="C37" s="112"/>
      <c r="D37" s="108">
        <v>11</v>
      </c>
      <c r="E37" s="113">
        <v>11</v>
      </c>
      <c r="F37" s="21">
        <f t="shared" si="0"/>
        <v>1.7329930365188897E-4</v>
      </c>
    </row>
    <row r="38" spans="1:10" ht="14.25" customHeight="1" x14ac:dyDescent="0.2">
      <c r="A38" s="102">
        <v>30</v>
      </c>
      <c r="B38" t="s">
        <v>54</v>
      </c>
      <c r="C38" s="112">
        <v>75</v>
      </c>
      <c r="D38" s="108">
        <v>57</v>
      </c>
      <c r="E38" s="113">
        <v>132</v>
      </c>
      <c r="F38" s="21">
        <f t="shared" si="0"/>
        <v>2.0795916438226675E-3</v>
      </c>
    </row>
    <row r="39" spans="1:10" ht="14.25" customHeight="1" x14ac:dyDescent="0.2">
      <c r="A39" s="102">
        <v>31</v>
      </c>
      <c r="B39" t="s">
        <v>82</v>
      </c>
      <c r="C39" s="112">
        <v>4359</v>
      </c>
      <c r="D39" s="108">
        <v>153</v>
      </c>
      <c r="E39" s="113">
        <v>4512</v>
      </c>
      <c r="F39" s="21">
        <f t="shared" si="0"/>
        <v>7.1084223461574822E-2</v>
      </c>
    </row>
    <row r="40" spans="1:10" ht="14.25" customHeight="1" x14ac:dyDescent="0.2">
      <c r="A40" s="102">
        <v>32</v>
      </c>
      <c r="B40" t="s">
        <v>83</v>
      </c>
      <c r="C40" s="112">
        <v>2940</v>
      </c>
      <c r="D40" s="108">
        <v>209</v>
      </c>
      <c r="E40" s="113">
        <v>3149</v>
      </c>
      <c r="F40" s="21">
        <f t="shared" si="0"/>
        <v>4.961086429089076E-2</v>
      </c>
    </row>
    <row r="41" spans="1:10" ht="14.25" customHeight="1" x14ac:dyDescent="0.2">
      <c r="A41" s="102">
        <v>33</v>
      </c>
      <c r="B41" t="s">
        <v>84</v>
      </c>
      <c r="C41" s="112">
        <v>275</v>
      </c>
      <c r="D41" s="108">
        <v>55</v>
      </c>
      <c r="E41" s="113">
        <v>330</v>
      </c>
      <c r="F41" s="21">
        <f t="shared" si="0"/>
        <v>5.1989791095566687E-3</v>
      </c>
    </row>
    <row r="42" spans="1:10" ht="14.25" customHeight="1" x14ac:dyDescent="0.2">
      <c r="A42" s="102">
        <v>34</v>
      </c>
      <c r="B42" t="s">
        <v>86</v>
      </c>
      <c r="C42" s="112">
        <v>27</v>
      </c>
      <c r="D42" s="108">
        <v>16</v>
      </c>
      <c r="E42" s="113">
        <v>43</v>
      </c>
      <c r="F42" s="21">
        <f t="shared" si="0"/>
        <v>6.7744273245738413E-4</v>
      </c>
    </row>
    <row r="43" spans="1:10" ht="14.25" customHeight="1" x14ac:dyDescent="0.2">
      <c r="A43" s="102">
        <v>35</v>
      </c>
      <c r="B43" t="s">
        <v>85</v>
      </c>
      <c r="C43" s="112">
        <v>1549</v>
      </c>
      <c r="D43" s="108">
        <v>303</v>
      </c>
      <c r="E43" s="113">
        <v>1852</v>
      </c>
      <c r="F43" s="21">
        <f t="shared" si="0"/>
        <v>2.9177300942118033E-2</v>
      </c>
    </row>
    <row r="44" spans="1:10" ht="14.25" customHeight="1" x14ac:dyDescent="0.2">
      <c r="A44" s="102">
        <v>36</v>
      </c>
      <c r="B44" t="s">
        <v>88</v>
      </c>
      <c r="C44" s="112">
        <v>5</v>
      </c>
      <c r="D44" s="108">
        <v>147</v>
      </c>
      <c r="E44" s="113">
        <v>152</v>
      </c>
      <c r="F44" s="21">
        <f t="shared" si="0"/>
        <v>2.394681286826102E-3</v>
      </c>
    </row>
    <row r="45" spans="1:10" x14ac:dyDescent="0.2">
      <c r="A45" s="102"/>
      <c r="B45" s="119" t="s">
        <v>57</v>
      </c>
      <c r="C45" s="120">
        <v>45464</v>
      </c>
      <c r="D45" s="114">
        <v>18010</v>
      </c>
      <c r="E45" s="115">
        <v>63474</v>
      </c>
      <c r="F45" s="21">
        <f>SUM(F9:F44)</f>
        <v>0.99999999999999978</v>
      </c>
      <c r="G45" s="105"/>
    </row>
    <row r="46" spans="1:10" x14ac:dyDescent="0.2">
      <c r="A46" s="103"/>
      <c r="B46" s="116"/>
      <c r="C46" s="117"/>
      <c r="D46" s="117"/>
      <c r="E46" s="117"/>
      <c r="F46" s="118"/>
      <c r="G46" s="105"/>
    </row>
    <row r="47" spans="1:10" x14ac:dyDescent="0.2">
      <c r="A47" s="1" t="s">
        <v>22</v>
      </c>
      <c r="B47" s="100"/>
    </row>
    <row r="48" spans="1:10" x14ac:dyDescent="0.2">
      <c r="A48" s="1" t="s">
        <v>21</v>
      </c>
      <c r="J48" s="101"/>
    </row>
    <row r="49" spans="1:1" x14ac:dyDescent="0.2">
      <c r="A49" s="1" t="s">
        <v>17</v>
      </c>
    </row>
  </sheetData>
  <sortState xmlns:xlrd2="http://schemas.microsoft.com/office/spreadsheetml/2017/richdata2" ref="B9:E44">
    <sortCondition ref="B8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zoomScaleNormal="100" zoomScalePageLayoutView="70" workbookViewId="0">
      <selection activeCell="A6" sqref="A6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 x14ac:dyDescent="0.2">
      <c r="A2" s="127" t="s">
        <v>55</v>
      </c>
      <c r="B2" s="127"/>
      <c r="C2" s="127"/>
      <c r="D2" s="127"/>
      <c r="E2" s="127"/>
      <c r="F2" s="127"/>
      <c r="G2" s="127"/>
      <c r="H2" s="127"/>
      <c r="I2" s="25"/>
    </row>
    <row r="3" spans="1:9" s="8" customFormat="1" ht="18" customHeight="1" x14ac:dyDescent="0.2">
      <c r="A3" s="22" t="s">
        <v>48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 x14ac:dyDescent="0.2">
      <c r="A4" s="22" t="s">
        <v>47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 x14ac:dyDescent="0.2">
      <c r="A6" s="9" t="str">
        <f>'Summary Load Customers '!A6</f>
        <v>Data as of December 31, 2021</v>
      </c>
      <c r="B6" s="25"/>
      <c r="C6" s="25"/>
      <c r="D6" s="68"/>
      <c r="E6" s="68"/>
      <c r="F6" s="68"/>
      <c r="G6" s="25"/>
      <c r="H6" s="25"/>
      <c r="I6" s="25"/>
    </row>
    <row r="7" spans="1:9" ht="18" customHeight="1" x14ac:dyDescent="0.25">
      <c r="B7" s="27"/>
      <c r="C7" s="27"/>
      <c r="D7" s="56"/>
      <c r="E7" s="56"/>
      <c r="F7" s="57"/>
      <c r="G7" s="57"/>
      <c r="H7" s="27"/>
    </row>
    <row r="8" spans="1:9" ht="18" customHeight="1" x14ac:dyDescent="0.25">
      <c r="A8" s="58" t="s">
        <v>41</v>
      </c>
      <c r="B8" s="59"/>
      <c r="C8" s="59"/>
      <c r="D8" s="60"/>
      <c r="E8" s="60"/>
      <c r="F8" s="61"/>
      <c r="G8" s="61"/>
      <c r="H8" s="59"/>
      <c r="I8" s="62"/>
    </row>
    <row r="9" spans="1:9" ht="18" customHeight="1" x14ac:dyDescent="0.3">
      <c r="B9" s="27"/>
      <c r="C9" s="27"/>
      <c r="D9" s="56"/>
      <c r="E9" s="56"/>
      <c r="F9" s="63"/>
      <c r="G9" s="63"/>
      <c r="H9" s="27"/>
    </row>
    <row r="10" spans="1:9" ht="18" customHeight="1" x14ac:dyDescent="0.2">
      <c r="A10" s="28" t="s">
        <v>52</v>
      </c>
      <c r="B10" s="29"/>
      <c r="C10" s="29"/>
      <c r="D10" s="29"/>
      <c r="E10" s="29"/>
      <c r="F10" s="29"/>
      <c r="G10" s="49"/>
      <c r="H10" s="24"/>
      <c r="I10" s="25"/>
    </row>
    <row r="11" spans="1:9" ht="18" customHeight="1" x14ac:dyDescent="0.25">
      <c r="A11" s="39"/>
      <c r="B11" s="31" t="s">
        <v>4</v>
      </c>
      <c r="C11" s="50"/>
      <c r="D11" s="31" t="s">
        <v>25</v>
      </c>
      <c r="E11" s="51"/>
      <c r="F11" s="31" t="s">
        <v>32</v>
      </c>
      <c r="G11" s="33"/>
    </row>
    <row r="12" spans="1:9" ht="18" customHeight="1" x14ac:dyDescent="0.2">
      <c r="A12" s="36"/>
      <c r="B12" s="37" t="s">
        <v>13</v>
      </c>
      <c r="C12" s="38" t="s">
        <v>19</v>
      </c>
      <c r="D12" s="37" t="str">
        <f>B12</f>
        <v>Customers</v>
      </c>
      <c r="E12" s="38" t="s">
        <v>19</v>
      </c>
      <c r="F12" s="37" t="str">
        <f>B12</f>
        <v>Customers</v>
      </c>
      <c r="G12" s="38" t="s">
        <v>18</v>
      </c>
    </row>
    <row r="13" spans="1:9" ht="18" customHeight="1" x14ac:dyDescent="0.2">
      <c r="A13" s="39" t="s">
        <v>43</v>
      </c>
      <c r="B13" s="41">
        <f>REC_programs_detail!B23</f>
        <v>2710</v>
      </c>
      <c r="C13" s="42">
        <f>IF(B13=0,0,B13/'Summary Load Customers '!$B$22)</f>
        <v>8.8120337913856674E-3</v>
      </c>
      <c r="D13" s="41">
        <f>REC_programs_detail!C23</f>
        <v>30</v>
      </c>
      <c r="E13" s="42">
        <f>IF(D13=0,0,D13/('Summary Load Customers '!$D$22+'Summary Load Customers '!$F$22))</f>
        <v>7.7669902912621365E-4</v>
      </c>
      <c r="F13" s="41">
        <f>B13+D13</f>
        <v>2740</v>
      </c>
      <c r="G13" s="42">
        <f>IF(F13=0,0,F13/'Summary Load Customers '!$H$22)</f>
        <v>7.9154377034830817E-3</v>
      </c>
    </row>
    <row r="14" spans="1:9" ht="15.75" customHeight="1" x14ac:dyDescent="0.25">
      <c r="G14" s="48"/>
      <c r="H14" s="27"/>
    </row>
    <row r="15" spans="1:9" ht="15.75" customHeight="1" x14ac:dyDescent="0.25">
      <c r="A15" s="97" t="str">
        <f>"As the above table shows, "&amp;TEXT(F13,"0,000")&amp;" of UI's customers, or "&amp;TEXT(G13,"0.0%")&amp;" are participating in the CTCleanEnergyOptions Program."</f>
        <v>As the above table shows, 2,740 of UI's customers, or 0.8% are participating in the CTCleanEnergyOptions Program.</v>
      </c>
      <c r="G15" s="48"/>
      <c r="H15" s="27"/>
    </row>
    <row r="16" spans="1:9" ht="15.75" customHeight="1" x14ac:dyDescent="0.25">
      <c r="G16" s="48"/>
      <c r="H16" s="27"/>
    </row>
    <row r="17" spans="1:9" ht="18" customHeight="1" x14ac:dyDescent="0.2">
      <c r="A17" s="28" t="s">
        <v>42</v>
      </c>
      <c r="B17" s="29"/>
      <c r="C17" s="29"/>
      <c r="D17" s="29"/>
      <c r="E17" s="29"/>
      <c r="F17" s="29"/>
      <c r="G17" s="49"/>
      <c r="H17" s="24"/>
      <c r="I17" s="25"/>
    </row>
    <row r="18" spans="1:9" ht="18" customHeight="1" x14ac:dyDescent="0.25">
      <c r="A18" s="39"/>
      <c r="B18" s="31" t="s">
        <v>4</v>
      </c>
      <c r="C18" s="50"/>
      <c r="D18" s="31" t="s">
        <v>25</v>
      </c>
      <c r="E18" s="51"/>
      <c r="F18" s="31" t="s">
        <v>32</v>
      </c>
      <c r="G18" s="33"/>
    </row>
    <row r="19" spans="1:9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B19</f>
        <v>Customers</v>
      </c>
      <c r="G19" s="38" t="s">
        <v>18</v>
      </c>
    </row>
    <row r="20" spans="1:9" ht="18" customHeight="1" x14ac:dyDescent="0.2">
      <c r="A20" s="39" t="s">
        <v>44</v>
      </c>
      <c r="B20" s="41">
        <f>REC_programs_detail!B29</f>
        <v>0</v>
      </c>
      <c r="C20" s="42">
        <f>IF(B20=0,0,B20/'Summary Load Customers '!$B$22)</f>
        <v>0</v>
      </c>
      <c r="D20" s="41">
        <f>REC_programs_detail!C29</f>
        <v>0</v>
      </c>
      <c r="E20" s="42">
        <f>IF(D20=0,0,D20/('Summary Load Customers '!$D$22+'Summary Load Customers '!$F$22))</f>
        <v>0</v>
      </c>
      <c r="F20" s="41">
        <f>B20+D20</f>
        <v>0</v>
      </c>
      <c r="G20" s="42">
        <f>IF(F20=0,0,F20/'Summary Load Customers '!$H$22)</f>
        <v>0</v>
      </c>
    </row>
    <row r="21" spans="1:9" ht="18" customHeight="1" x14ac:dyDescent="0.2">
      <c r="B21" s="47"/>
      <c r="C21" s="46"/>
      <c r="D21" s="47"/>
      <c r="E21" s="46"/>
      <c r="F21" s="47"/>
      <c r="G21" s="46"/>
      <c r="H21" s="47"/>
      <c r="I21" s="46"/>
    </row>
    <row r="22" spans="1:9" ht="18" customHeight="1" x14ac:dyDescent="0.2">
      <c r="A22" s="97" t="str">
        <f>"As the above table shows, "&amp;TEXT(F20,"0,000")&amp;" of UI's customers, or "&amp;TEXT(G20,"0.0%")&amp;" are participating in the REC only program."</f>
        <v>As the above table shows, 0,000 of UI's customers, or 0.0% are participating in the REC only program.</v>
      </c>
      <c r="B22" s="47"/>
      <c r="C22" s="46"/>
      <c r="D22" s="47"/>
      <c r="E22" s="46"/>
      <c r="F22" s="47"/>
      <c r="G22" s="46"/>
      <c r="H22" s="47"/>
      <c r="I22" s="46"/>
    </row>
    <row r="23" spans="1:9" ht="14.25" x14ac:dyDescent="0.2">
      <c r="A23" s="44"/>
    </row>
    <row r="24" spans="1:9" ht="15" x14ac:dyDescent="0.2">
      <c r="A24" s="28" t="s">
        <v>46</v>
      </c>
      <c r="B24" s="29"/>
      <c r="C24" s="29"/>
      <c r="D24" s="29"/>
      <c r="E24" s="29"/>
      <c r="F24" s="29"/>
      <c r="G24" s="49"/>
      <c r="H24" s="24"/>
      <c r="I24" s="25"/>
    </row>
    <row r="25" spans="1:9" ht="15" x14ac:dyDescent="0.25">
      <c r="A25" s="39"/>
      <c r="B25" s="31" t="s">
        <v>4</v>
      </c>
      <c r="C25" s="50"/>
      <c r="D25" s="31" t="s">
        <v>25</v>
      </c>
      <c r="E25" s="51"/>
      <c r="F25" s="31" t="s">
        <v>32</v>
      </c>
      <c r="G25" s="33"/>
    </row>
    <row r="26" spans="1:9" ht="15" x14ac:dyDescent="0.2">
      <c r="A26" s="36"/>
      <c r="B26" s="37" t="s">
        <v>13</v>
      </c>
      <c r="C26" s="38" t="s">
        <v>19</v>
      </c>
      <c r="D26" s="37" t="str">
        <f>B26</f>
        <v>Customers</v>
      </c>
      <c r="E26" s="38" t="s">
        <v>19</v>
      </c>
      <c r="F26" s="37" t="str">
        <f>B26</f>
        <v>Customers</v>
      </c>
      <c r="G26" s="38" t="s">
        <v>18</v>
      </c>
    </row>
    <row r="27" spans="1:9" ht="14.25" x14ac:dyDescent="0.2">
      <c r="A27" s="39" t="s">
        <v>45</v>
      </c>
      <c r="B27" s="41">
        <f>B13+B20</f>
        <v>2710</v>
      </c>
      <c r="C27" s="42">
        <f>IF(B27=0,0,B27/'Summary Load Customers '!$B$22)</f>
        <v>8.8120337913856674E-3</v>
      </c>
      <c r="D27" s="41">
        <f>D13+D20</f>
        <v>30</v>
      </c>
      <c r="E27" s="42">
        <f>IF(D27=0,0,D27/('Summary Load Customers '!$D$22+'Summary Load Customers '!$F$22))</f>
        <v>7.7669902912621365E-4</v>
      </c>
      <c r="F27" s="41">
        <f>B27+D27</f>
        <v>2740</v>
      </c>
      <c r="G27" s="42">
        <f>IF(F27=0,0,F27/'Summary Load Customers '!$H$22)</f>
        <v>7.9154377034830817E-3</v>
      </c>
    </row>
    <row r="28" spans="1:9" ht="15" x14ac:dyDescent="0.25">
      <c r="G28" s="48"/>
      <c r="H28" s="27"/>
    </row>
    <row r="29" spans="1:9" ht="15" x14ac:dyDescent="0.25">
      <c r="A29" s="97" t="str">
        <f>"As the above table shows, "&amp;TEXT(F27,"0,000")&amp;" of UI's customers, or "&amp;TEXT(G27,"0.0%")&amp;" are participating in the combined REC programs."</f>
        <v>As the above table shows, 2,740 of UI's customers, or 0.8% are participating in the combined REC programs.</v>
      </c>
      <c r="G29" s="48"/>
      <c r="H29" s="27"/>
    </row>
    <row r="31" spans="1:9" ht="13.5" x14ac:dyDescent="0.2">
      <c r="A31" s="64" t="s">
        <v>31</v>
      </c>
    </row>
    <row r="32" spans="1:9" ht="13.5" x14ac:dyDescent="0.2">
      <c r="A32" s="64"/>
    </row>
    <row r="33" spans="1:1" ht="13.5" x14ac:dyDescent="0.2">
      <c r="A33" s="64" t="s">
        <v>53</v>
      </c>
    </row>
    <row r="34" spans="1:1" x14ac:dyDescent="0.2">
      <c r="A34" s="65" t="s">
        <v>51</v>
      </c>
    </row>
    <row r="36" spans="1:1" x14ac:dyDescent="0.2">
      <c r="A36" s="65" t="s">
        <v>17</v>
      </c>
    </row>
  </sheetData>
  <mergeCells count="1">
    <mergeCell ref="A2:H2"/>
  </mergeCells>
  <phoneticPr fontId="10" type="noConversion"/>
  <printOptions horizontalCentered="1"/>
  <pageMargins left="0.75" right="0.5" top="0.5" bottom="0.25" header="0.5" footer="0"/>
  <pageSetup scale="89" orientation="portrait" r:id="rId1"/>
  <headerFooter alignWithMargins="0">
    <oddHeader xml:space="preserve">&amp;RPage 2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2"/>
  <sheetViews>
    <sheetView showZeros="0" zoomScale="110" zoomScaleNormal="110" workbookViewId="0">
      <selection sqref="A1:D1"/>
    </sheetView>
  </sheetViews>
  <sheetFormatPr defaultColWidth="9.140625" defaultRowHeight="11.25" x14ac:dyDescent="0.2"/>
  <cols>
    <col min="1" max="1" width="28" style="72" customWidth="1"/>
    <col min="2" max="3" width="19.140625" style="72" customWidth="1"/>
    <col min="4" max="4" width="20.28515625" style="72" customWidth="1"/>
    <col min="5" max="5" width="7.140625" style="72" customWidth="1"/>
    <col min="6" max="6" width="23.28515625" style="72" bestFit="1" customWidth="1"/>
    <col min="7" max="7" width="10.42578125" style="72" customWidth="1"/>
    <col min="8" max="16384" width="9.140625" style="72"/>
  </cols>
  <sheetData>
    <row r="1" spans="1:9" s="71" customFormat="1" ht="15" customHeight="1" x14ac:dyDescent="0.2">
      <c r="A1" s="128" t="str">
        <f>'Summary Load Customers '!A1</f>
        <v>The United Illuminating Company</v>
      </c>
      <c r="B1" s="128"/>
      <c r="C1" s="128"/>
      <c r="D1" s="128"/>
      <c r="E1" s="69"/>
      <c r="F1" s="69"/>
      <c r="G1" s="70"/>
    </row>
    <row r="2" spans="1:9" s="8" customFormat="1" ht="18" customHeight="1" x14ac:dyDescent="0.2">
      <c r="A2" s="129" t="s">
        <v>55</v>
      </c>
      <c r="B2" s="129"/>
      <c r="C2" s="129"/>
      <c r="D2" s="129"/>
      <c r="E2" s="23"/>
      <c r="F2" s="23"/>
      <c r="G2" s="24"/>
      <c r="H2" s="25"/>
      <c r="I2" s="25"/>
    </row>
    <row r="3" spans="1:9" s="71" customFormat="1" ht="15" customHeight="1" x14ac:dyDescent="0.2">
      <c r="A3" s="128" t="s">
        <v>34</v>
      </c>
      <c r="B3" s="128"/>
      <c r="C3" s="128"/>
      <c r="D3" s="128"/>
      <c r="E3" s="69"/>
      <c r="F3" s="69"/>
      <c r="G3" s="70"/>
    </row>
    <row r="4" spans="1:9" s="71" customFormat="1" ht="15" customHeight="1" x14ac:dyDescent="0.2">
      <c r="A4" s="128" t="s">
        <v>1</v>
      </c>
      <c r="B4" s="128"/>
      <c r="C4" s="128"/>
      <c r="D4" s="128"/>
      <c r="E4" s="69"/>
      <c r="F4" s="69"/>
      <c r="G4" s="70"/>
    </row>
    <row r="5" spans="1:9" s="71" customFormat="1" ht="15" customHeight="1" x14ac:dyDescent="0.2">
      <c r="A5" s="128" t="str">
        <f>'Summary Load Customers '!A6</f>
        <v>Data as of December 31, 2021</v>
      </c>
      <c r="B5" s="128"/>
      <c r="C5" s="128"/>
      <c r="D5" s="128"/>
      <c r="E5" s="69"/>
      <c r="F5" s="69"/>
      <c r="G5" s="70"/>
    </row>
    <row r="6" spans="1:9" x14ac:dyDescent="0.2">
      <c r="C6" s="73"/>
      <c r="D6" s="73"/>
      <c r="E6" s="73"/>
      <c r="F6" s="73"/>
      <c r="G6" s="73"/>
    </row>
    <row r="7" spans="1:9" s="79" customFormat="1" ht="22.5" x14ac:dyDescent="0.2">
      <c r="A7" s="74" t="s">
        <v>36</v>
      </c>
      <c r="B7" s="75" t="s">
        <v>4</v>
      </c>
      <c r="C7" s="74" t="s">
        <v>5</v>
      </c>
      <c r="D7" s="74" t="s">
        <v>32</v>
      </c>
      <c r="E7" s="76"/>
      <c r="F7" s="76"/>
      <c r="G7" s="77"/>
      <c r="H7" s="78"/>
    </row>
    <row r="8" spans="1:9" x14ac:dyDescent="0.2">
      <c r="A8" s="80" t="s">
        <v>35</v>
      </c>
      <c r="B8" s="81"/>
      <c r="C8" s="82"/>
      <c r="D8" s="83">
        <f>IF(C8=0,0,C8)</f>
        <v>0</v>
      </c>
      <c r="E8" s="73"/>
      <c r="F8" s="73"/>
      <c r="G8" s="84"/>
      <c r="H8" s="73"/>
    </row>
    <row r="9" spans="1:9" x14ac:dyDescent="0.2">
      <c r="A9" s="80" t="s">
        <v>14</v>
      </c>
      <c r="B9" s="82">
        <v>98</v>
      </c>
      <c r="C9" s="82">
        <v>2</v>
      </c>
      <c r="D9" s="83">
        <f>SUM(B9:C9)</f>
        <v>100</v>
      </c>
      <c r="E9" s="85"/>
      <c r="F9" s="85"/>
      <c r="G9" s="84"/>
      <c r="H9" s="73"/>
    </row>
    <row r="10" spans="1:9" x14ac:dyDescent="0.2">
      <c r="A10" s="80" t="s">
        <v>15</v>
      </c>
      <c r="B10" s="82">
        <v>2219</v>
      </c>
      <c r="C10" s="82">
        <v>27</v>
      </c>
      <c r="D10" s="83">
        <f>SUM(B10:C10)</f>
        <v>2246</v>
      </c>
      <c r="E10" s="86"/>
      <c r="F10" s="87"/>
      <c r="G10" s="84"/>
      <c r="H10" s="73"/>
    </row>
    <row r="11" spans="1:9" x14ac:dyDescent="0.2">
      <c r="A11" s="88" t="s">
        <v>6</v>
      </c>
      <c r="B11" s="89">
        <f>IF(B9+B10=0,0,B9+B10)</f>
        <v>2317</v>
      </c>
      <c r="C11" s="89">
        <f>IF(SUM(C8:C10)=0,0,SUM(C8:C10))</f>
        <v>29</v>
      </c>
      <c r="D11" s="89">
        <f>IF(SUM(D8:D10)=0,0,SUM(D8:D10))</f>
        <v>2346</v>
      </c>
      <c r="E11" s="86"/>
      <c r="F11" s="87"/>
      <c r="G11" s="84"/>
      <c r="H11" s="73"/>
    </row>
    <row r="12" spans="1:9" x14ac:dyDescent="0.2">
      <c r="A12" s="73"/>
      <c r="B12" s="90"/>
      <c r="C12" s="90"/>
      <c r="D12" s="90"/>
      <c r="E12" s="86"/>
      <c r="F12" s="87"/>
      <c r="G12" s="91"/>
      <c r="H12" s="73"/>
    </row>
    <row r="13" spans="1:9" ht="22.5" x14ac:dyDescent="0.2">
      <c r="A13" s="121" t="s">
        <v>39</v>
      </c>
      <c r="B13" s="74" t="s">
        <v>4</v>
      </c>
      <c r="C13" s="74" t="str">
        <f>C7</f>
        <v>Business</v>
      </c>
      <c r="D13" s="74" t="s">
        <v>32</v>
      </c>
      <c r="E13" s="92"/>
      <c r="F13" s="93"/>
      <c r="G13" s="91"/>
      <c r="H13" s="73"/>
    </row>
    <row r="14" spans="1:9" x14ac:dyDescent="0.2">
      <c r="A14" s="80" t="s">
        <v>35</v>
      </c>
      <c r="B14" s="81"/>
      <c r="C14" s="82"/>
      <c r="D14" s="83">
        <f>IF(C14=0,0,C14)</f>
        <v>0</v>
      </c>
      <c r="E14" s="73"/>
      <c r="F14" s="73"/>
      <c r="G14" s="91"/>
      <c r="H14" s="73"/>
    </row>
    <row r="15" spans="1:9" x14ac:dyDescent="0.2">
      <c r="A15" s="80" t="s">
        <v>14</v>
      </c>
      <c r="B15" s="82">
        <v>2</v>
      </c>
      <c r="C15" s="82">
        <v>0</v>
      </c>
      <c r="D15" s="83">
        <f>SUM(B15:C15)</f>
        <v>2</v>
      </c>
      <c r="E15" s="85"/>
      <c r="F15" s="85"/>
      <c r="G15" s="84"/>
      <c r="H15" s="73"/>
    </row>
    <row r="16" spans="1:9" x14ac:dyDescent="0.2">
      <c r="A16" s="80" t="s">
        <v>15</v>
      </c>
      <c r="B16" s="82">
        <v>391</v>
      </c>
      <c r="C16" s="82">
        <v>1</v>
      </c>
      <c r="D16" s="83">
        <f>SUM(B16:C16)</f>
        <v>392</v>
      </c>
      <c r="E16" s="86"/>
      <c r="F16" s="87"/>
      <c r="G16" s="84"/>
      <c r="H16" s="73"/>
    </row>
    <row r="17" spans="1:8" x14ac:dyDescent="0.2">
      <c r="A17" s="88" t="str">
        <f>A11</f>
        <v>Total</v>
      </c>
      <c r="B17" s="89">
        <f>IF(B15+B16=0,0,B15+B16)</f>
        <v>393</v>
      </c>
      <c r="C17" s="89">
        <f>IF(SUM(C14:C16)=0,0,SUM(C14:C16))</f>
        <v>1</v>
      </c>
      <c r="D17" s="89">
        <f>IF(SUM(D14:D16)=0,0,SUM(D14:D16))</f>
        <v>394</v>
      </c>
      <c r="E17" s="86"/>
      <c r="F17" s="87"/>
      <c r="G17" s="84"/>
      <c r="H17" s="73"/>
    </row>
    <row r="18" spans="1:8" x14ac:dyDescent="0.2">
      <c r="A18" s="73"/>
      <c r="B18" s="73"/>
      <c r="C18" s="73"/>
      <c r="D18" s="96"/>
      <c r="E18" s="86"/>
      <c r="F18" s="87"/>
      <c r="G18" s="91"/>
      <c r="H18" s="73"/>
    </row>
    <row r="19" spans="1:8" ht="22.5" x14ac:dyDescent="0.2">
      <c r="A19" s="74" t="s">
        <v>40</v>
      </c>
      <c r="B19" s="74" t="s">
        <v>4</v>
      </c>
      <c r="C19" s="74" t="str">
        <f>C7</f>
        <v>Business</v>
      </c>
      <c r="D19" s="74" t="s">
        <v>32</v>
      </c>
      <c r="E19" s="92"/>
      <c r="F19" s="93"/>
      <c r="G19" s="91"/>
      <c r="H19" s="73"/>
    </row>
    <row r="20" spans="1:8" x14ac:dyDescent="0.2">
      <c r="A20" s="80" t="s">
        <v>35</v>
      </c>
      <c r="B20" s="81"/>
      <c r="C20" s="94">
        <f t="shared" ref="C20:D21" si="0">IF(C8+C14=0,0,C8+C14)</f>
        <v>0</v>
      </c>
      <c r="D20" s="83"/>
      <c r="E20" s="91"/>
      <c r="F20" s="91"/>
      <c r="G20" s="91"/>
      <c r="H20" s="73"/>
    </row>
    <row r="21" spans="1:8" x14ac:dyDescent="0.2">
      <c r="A21" s="80" t="s">
        <v>14</v>
      </c>
      <c r="B21" s="94">
        <f>IF(B9+B15=0,0,B9+B15)</f>
        <v>100</v>
      </c>
      <c r="C21" s="94">
        <f>IF(C9+C15=0,0,C9+C15)</f>
        <v>2</v>
      </c>
      <c r="D21" s="83">
        <f t="shared" si="0"/>
        <v>102</v>
      </c>
      <c r="E21" s="84"/>
      <c r="F21" s="91"/>
      <c r="G21" s="91"/>
      <c r="H21" s="73"/>
    </row>
    <row r="22" spans="1:8" x14ac:dyDescent="0.2">
      <c r="A22" s="80" t="s">
        <v>15</v>
      </c>
      <c r="B22" s="94">
        <f>IF(B10+B16=0,0,B10+B16)</f>
        <v>2610</v>
      </c>
      <c r="C22" s="94">
        <f>IF(C10+C16=0,0,C10+C16)</f>
        <v>28</v>
      </c>
      <c r="D22" s="83">
        <f>IF(D10+D16=0,0,D10+D16)</f>
        <v>2638</v>
      </c>
      <c r="E22" s="73"/>
      <c r="F22" s="91"/>
      <c r="G22" s="91"/>
      <c r="H22" s="73"/>
    </row>
    <row r="23" spans="1:8" x14ac:dyDescent="0.2">
      <c r="A23" s="88" t="str">
        <f>A11</f>
        <v>Total</v>
      </c>
      <c r="B23" s="89">
        <f>IF(B21+B22=0,0,B21+B22)</f>
        <v>2710</v>
      </c>
      <c r="C23" s="89">
        <f>IF(SUM(C20:C22)=0,0,SUM(C20:C22))</f>
        <v>30</v>
      </c>
      <c r="D23" s="89">
        <f>SUM(D20:D22)</f>
        <v>2740</v>
      </c>
      <c r="E23" s="73"/>
      <c r="F23" s="91"/>
      <c r="G23" s="91"/>
      <c r="H23" s="73"/>
    </row>
    <row r="24" spans="1:8" x14ac:dyDescent="0.2">
      <c r="B24" s="73"/>
      <c r="C24" s="73"/>
      <c r="E24" s="73"/>
      <c r="F24" s="91"/>
      <c r="G24" s="91"/>
      <c r="H24" s="73"/>
    </row>
    <row r="25" spans="1:8" ht="22.5" x14ac:dyDescent="0.2">
      <c r="A25" s="121" t="s">
        <v>37</v>
      </c>
      <c r="B25" s="74" t="s">
        <v>4</v>
      </c>
      <c r="C25" s="74" t="s">
        <v>5</v>
      </c>
      <c r="D25" s="74" t="s">
        <v>32</v>
      </c>
    </row>
    <row r="26" spans="1:8" x14ac:dyDescent="0.2">
      <c r="A26" s="80" t="s">
        <v>35</v>
      </c>
      <c r="B26" s="81"/>
      <c r="C26" s="94">
        <f>IF(C14+C20=0,0,C14+C20)</f>
        <v>0</v>
      </c>
      <c r="D26" s="83">
        <f>IF(C26=0,0,C26)</f>
        <v>0</v>
      </c>
    </row>
    <row r="27" spans="1:8" x14ac:dyDescent="0.2">
      <c r="A27" s="80" t="s">
        <v>14</v>
      </c>
      <c r="B27" s="82">
        <v>0</v>
      </c>
      <c r="C27" s="82">
        <v>0</v>
      </c>
      <c r="D27" s="83">
        <f>SUM(B27:C27)</f>
        <v>0</v>
      </c>
    </row>
    <row r="28" spans="1:8" x14ac:dyDescent="0.2">
      <c r="A28" s="80" t="s">
        <v>15</v>
      </c>
      <c r="B28" s="82">
        <v>0</v>
      </c>
      <c r="C28" s="82">
        <v>0</v>
      </c>
      <c r="D28" s="83">
        <f>SUM(B28:C28)</f>
        <v>0</v>
      </c>
    </row>
    <row r="29" spans="1:8" x14ac:dyDescent="0.2">
      <c r="A29" s="88" t="str">
        <f>A23</f>
        <v>Total</v>
      </c>
      <c r="B29" s="106">
        <f>IF(B27+B28=0,0,B27+B28)</f>
        <v>0</v>
      </c>
      <c r="C29" s="89">
        <f>IF(SUM(C26:C28)=0,0,SUM(C26:C28))</f>
        <v>0</v>
      </c>
      <c r="D29" s="89">
        <f>IF(SUM(D26:D28)=0,0,SUM(D26:D28))</f>
        <v>0</v>
      </c>
    </row>
    <row r="31" spans="1:8" x14ac:dyDescent="0.2">
      <c r="A31" s="74" t="s">
        <v>38</v>
      </c>
      <c r="B31" s="74" t="s">
        <v>4</v>
      </c>
      <c r="C31" s="74" t="str">
        <f>C19</f>
        <v>Business</v>
      </c>
      <c r="D31" s="74" t="s">
        <v>32</v>
      </c>
    </row>
    <row r="32" spans="1:8" x14ac:dyDescent="0.2">
      <c r="A32" s="80" t="s">
        <v>35</v>
      </c>
      <c r="B32" s="81">
        <f>B20+B26</f>
        <v>0</v>
      </c>
      <c r="C32" s="94">
        <f t="shared" ref="C32:D34" si="1">C20+C26</f>
        <v>0</v>
      </c>
      <c r="D32" s="83">
        <f t="shared" si="1"/>
        <v>0</v>
      </c>
    </row>
    <row r="33" spans="1:7" x14ac:dyDescent="0.2">
      <c r="A33" s="80" t="s">
        <v>14</v>
      </c>
      <c r="B33" s="94">
        <f>B21+B27</f>
        <v>100</v>
      </c>
      <c r="C33" s="94">
        <f t="shared" si="1"/>
        <v>2</v>
      </c>
      <c r="D33" s="83">
        <f t="shared" si="1"/>
        <v>102</v>
      </c>
      <c r="E33" s="73"/>
      <c r="F33" s="73"/>
      <c r="G33" s="73"/>
    </row>
    <row r="34" spans="1:7" x14ac:dyDescent="0.2">
      <c r="A34" s="80" t="s">
        <v>15</v>
      </c>
      <c r="B34" s="94">
        <f>B22+B28</f>
        <v>2610</v>
      </c>
      <c r="C34" s="94">
        <f t="shared" si="1"/>
        <v>28</v>
      </c>
      <c r="D34" s="83">
        <f t="shared" si="1"/>
        <v>2638</v>
      </c>
    </row>
    <row r="35" spans="1:7" x14ac:dyDescent="0.2">
      <c r="A35" s="88" t="str">
        <f>A29</f>
        <v>Total</v>
      </c>
      <c r="B35" s="89">
        <f>IF(B33+B34=0,0,B33+B34)</f>
        <v>2710</v>
      </c>
      <c r="C35" s="89">
        <f>IF(SUM(C32:C34)=0,0,SUM(C32:C34))</f>
        <v>30</v>
      </c>
      <c r="D35" s="89">
        <f>SUM(D32:D34)</f>
        <v>2740</v>
      </c>
    </row>
    <row r="37" spans="1:7" x14ac:dyDescent="0.2">
      <c r="A37" s="95" t="str">
        <f>"In summary, "&amp;TEXT($D$23,"0,000")&amp; " of UI's customers are participating in the CTCleanEnergyOptions Program"</f>
        <v>In summary, 2,740 of UI's customers are participating in the CTCleanEnergyOptions Program</v>
      </c>
    </row>
    <row r="38" spans="1:7" x14ac:dyDescent="0.2">
      <c r="A38" s="95" t="str">
        <f>"In summary, "&amp;TEXT($D$29,"000")&amp; " of UI's customers are participating in RECs only with Sterling Planet"</f>
        <v>In summary, 000 of UI's customers are participating in RECs only with Sterling Planet</v>
      </c>
    </row>
    <row r="39" spans="1:7" x14ac:dyDescent="0.2">
      <c r="A39" s="95" t="str">
        <f>"In summary, "&amp;TEXT($D$35,"0,000")&amp; " of UI's customers are participating in all REC programs"</f>
        <v>In summary, 2,740 of UI's customers are participating in all REC programs</v>
      </c>
    </row>
    <row r="41" spans="1:7" x14ac:dyDescent="0.2">
      <c r="A41" s="96" t="s">
        <v>20</v>
      </c>
    </row>
    <row r="42" spans="1:7" x14ac:dyDescent="0.2">
      <c r="A42" s="73" t="s">
        <v>16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0.5" bottom="0.25" header="0.5" footer="0"/>
  <pageSetup orientation="portrait" r:id="rId1"/>
  <headerFooter alignWithMargins="0">
    <oddHeader xml:space="preserve">&amp;RPage 2 of 4
</oddHeader>
  </headerFooter>
  <ignoredErrors>
    <ignoredError sqref="C20 C26 C32 C33:C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3847A1E9B97F49BA46858ADBE2F307" ma:contentTypeVersion="14" ma:contentTypeDescription="Crear nuevo documento." ma:contentTypeScope="" ma:versionID="9a41a406cebf6cce94de0d4d99281d09">
  <xsd:schema xmlns:xsd="http://www.w3.org/2001/XMLSchema" xmlns:xs="http://www.w3.org/2001/XMLSchema" xmlns:p="http://schemas.microsoft.com/office/2006/metadata/properties" xmlns:ns3="01ff2d7e-782e-4868-861d-b0d3b4b9d0c2" xmlns:ns4="cd86f438-89d9-47e9-a174-9969eae3e2b9" targetNamespace="http://schemas.microsoft.com/office/2006/metadata/properties" ma:root="true" ma:fieldsID="9e5d4f284f753d91786dd3f9ea3f8810" ns3:_="" ns4:_="">
    <xsd:import namespace="01ff2d7e-782e-4868-861d-b0d3b4b9d0c2"/>
    <xsd:import namespace="cd86f438-89d9-47e9-a174-9969eae3e2b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f2d7e-782e-4868-861d-b0d3b4b9d0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6f438-89d9-47e9-a174-9969eae3e2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E1DDE4-AEA8-48A5-875B-FF6C4D3F3D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FD2D0F-D661-492B-92FB-4A59CF007833}">
  <ds:schemaRefs>
    <ds:schemaRef ds:uri="01ff2d7e-782e-4868-861d-b0d3b4b9d0c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d86f438-89d9-47e9-a174-9969eae3e2b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831D23E-D727-4C6C-8163-BFCC10F82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ff2d7e-782e-4868-861d-b0d3b4b9d0c2"/>
    <ds:schemaRef ds:uri="cd86f438-89d9-47e9-a174-9969eae3e2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2022-01-12T18:07:48Z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NewReviewCycle">
    <vt:lpwstr/>
  </property>
  <property fmtid="{D5CDD505-2E9C-101B-9397-08002B2CF9AE}" pid="4" name="MSIP_Label_624b1752-a977-4927-b9e6-e48a43684aee_Enabled">
    <vt:lpwstr>true</vt:lpwstr>
  </property>
  <property fmtid="{D5CDD505-2E9C-101B-9397-08002B2CF9AE}" pid="5" name="MSIP_Label_624b1752-a977-4927-b9e6-e48a43684aee_SetDate">
    <vt:lpwstr>2020-09-15T16:57:31Z</vt:lpwstr>
  </property>
  <property fmtid="{D5CDD505-2E9C-101B-9397-08002B2CF9AE}" pid="6" name="MSIP_Label_624b1752-a977-4927-b9e6-e48a43684aee_Method">
    <vt:lpwstr>Privileged</vt:lpwstr>
  </property>
  <property fmtid="{D5CDD505-2E9C-101B-9397-08002B2CF9AE}" pid="7" name="MSIP_Label_624b1752-a977-4927-b9e6-e48a43684aee_Name">
    <vt:lpwstr>Public</vt:lpwstr>
  </property>
  <property fmtid="{D5CDD505-2E9C-101B-9397-08002B2CF9AE}" pid="8" name="MSIP_Label_624b1752-a977-4927-b9e6-e48a43684aee_SiteId">
    <vt:lpwstr>031a09bc-a2bf-44df-888e-4e09355b7a24</vt:lpwstr>
  </property>
  <property fmtid="{D5CDD505-2E9C-101B-9397-08002B2CF9AE}" pid="9" name="MSIP_Label_624b1752-a977-4927-b9e6-e48a43684aee_ActionId">
    <vt:lpwstr>613524fd-9e19-4128-bb92-00003958b920</vt:lpwstr>
  </property>
  <property fmtid="{D5CDD505-2E9C-101B-9397-08002B2CF9AE}" pid="10" name="ContentTypeId">
    <vt:lpwstr>0x010100873847A1E9B97F49BA46858ADBE2F307</vt:lpwstr>
  </property>
</Properties>
</file>