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3\"/>
    </mc:Choice>
  </mc:AlternateContent>
  <xr:revisionPtr revIDLastSave="0" documentId="13_ncr:1_{9CE7FA6F-DC84-48A1-8D36-48BCC90EB86E}" xr6:coauthVersionLast="45" xr6:coauthVersionMax="45" xr10:uidLastSave="{00000000-0000-0000-0000-000000000000}"/>
  <bookViews>
    <workbookView xWindow="-120" yWindow="-120" windowWidth="20730" windowHeight="1116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7" l="1"/>
  <c r="D17" i="7"/>
  <c r="B17" i="7"/>
  <c r="F16" i="7"/>
  <c r="D16" i="7"/>
  <c r="B16" i="7"/>
  <c r="F8" i="7"/>
  <c r="D8" i="7"/>
  <c r="B8" i="7"/>
  <c r="F7" i="7"/>
  <c r="D7" i="7"/>
  <c r="B7" i="7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B18" i="5"/>
  <c r="B19" i="5"/>
  <c r="C19" i="5"/>
  <c r="B29" i="5"/>
  <c r="C8" i="5"/>
  <c r="A2" i="6"/>
  <c r="B30" i="5"/>
  <c r="C18" i="5"/>
  <c r="C30" i="5"/>
  <c r="C31" i="5"/>
  <c r="B31" i="5"/>
  <c r="A2" i="5"/>
  <c r="A3" i="8"/>
  <c r="B26" i="5"/>
  <c r="B18" i="8"/>
  <c r="F24" i="8"/>
  <c r="F17" i="8"/>
  <c r="F10" i="8"/>
  <c r="D5" i="5"/>
  <c r="D11" i="5"/>
  <c r="C17" i="5"/>
  <c r="C23" i="5"/>
  <c r="D6" i="5"/>
  <c r="D12" i="5"/>
  <c r="D24" i="5"/>
  <c r="D7" i="5"/>
  <c r="D13" i="5"/>
  <c r="D25" i="5"/>
  <c r="B18" i="7"/>
  <c r="D24" i="8"/>
  <c r="D17" i="8"/>
  <c r="D10" i="8"/>
  <c r="A20" i="5"/>
  <c r="A26" i="5"/>
  <c r="A32" i="5"/>
  <c r="C16" i="5"/>
  <c r="C28" i="5"/>
  <c r="C14" i="5"/>
  <c r="B8" i="5"/>
  <c r="B14" i="5"/>
  <c r="A18" i="7"/>
  <c r="A17" i="7"/>
  <c r="D6" i="7"/>
  <c r="F6" i="7"/>
  <c r="H6" i="7"/>
  <c r="D15" i="7"/>
  <c r="F15" i="7"/>
  <c r="H15" i="7"/>
  <c r="A16" i="7"/>
  <c r="A14" i="5"/>
  <c r="C10" i="5"/>
  <c r="C26" i="5"/>
  <c r="D18" i="8"/>
  <c r="F18" i="8"/>
  <c r="D23" i="5"/>
  <c r="D26" i="5"/>
  <c r="A35" i="5"/>
  <c r="C29" i="5"/>
  <c r="C16" i="7"/>
  <c r="C17" i="7"/>
  <c r="D19" i="5"/>
  <c r="D31" i="5"/>
  <c r="D18" i="5"/>
  <c r="D30" i="5"/>
  <c r="D14" i="5"/>
  <c r="C32" i="5"/>
  <c r="D8" i="5"/>
  <c r="B20" i="5"/>
  <c r="B11" i="8"/>
  <c r="C11" i="8"/>
  <c r="B32" i="5"/>
  <c r="C18" i="8"/>
  <c r="D29" i="5"/>
  <c r="C20" i="5"/>
  <c r="D11" i="8"/>
  <c r="F11" i="8"/>
  <c r="B25" i="8"/>
  <c r="C25" i="8"/>
  <c r="D32" i="5"/>
  <c r="A36" i="5"/>
  <c r="D20" i="5"/>
  <c r="A34" i="5"/>
  <c r="D25" i="8"/>
  <c r="F25" i="8"/>
  <c r="H17" i="7"/>
  <c r="F18" i="7"/>
  <c r="G17" i="7"/>
  <c r="G16" i="7"/>
  <c r="D18" i="7"/>
  <c r="E16" i="7"/>
  <c r="H16" i="7"/>
  <c r="H18" i="7"/>
  <c r="I16" i="7"/>
  <c r="A20" i="7"/>
  <c r="E17" i="7"/>
  <c r="E25" i="8"/>
  <c r="E18" i="8"/>
  <c r="E11" i="8"/>
  <c r="G11" i="8"/>
  <c r="A12" i="8"/>
  <c r="G25" i="8"/>
  <c r="A26" i="8"/>
  <c r="I17" i="7"/>
  <c r="A21" i="7"/>
  <c r="G18" i="8"/>
  <c r="A19" i="8"/>
  <c r="H8" i="7"/>
  <c r="B9" i="7"/>
  <c r="C7" i="7"/>
  <c r="C8" i="7"/>
  <c r="H7" i="7"/>
  <c r="D9" i="7"/>
  <c r="E8" i="7"/>
  <c r="F9" i="7"/>
  <c r="G8" i="7"/>
  <c r="E7" i="7"/>
  <c r="G7" i="7"/>
  <c r="H9" i="7"/>
  <c r="I8" i="7"/>
  <c r="A11" i="7"/>
  <c r="I7" i="7"/>
  <c r="A10" i="7"/>
</calcChain>
</file>

<file path=xl/sharedStrings.xml><?xml version="1.0" encoding="utf-8"?>
<sst xmlns="http://schemas.openxmlformats.org/spreadsheetml/2006/main" count="144" uniqueCount="85">
  <si>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</si>
  <si>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</si>
  <si>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</si>
  <si>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</si>
  <si>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</si>
  <si>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</si>
  <si>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</si>
  <si>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</si>
  <si>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</si>
  <si>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</si>
  <si>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</si>
  <si>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</si>
  <si>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</si>
  <si>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</si>
  <si>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</si>
  <si>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</si>
  <si>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</si>
  <si>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</si>
  <si>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</si>
  <si>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</si>
  <si>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</si>
  <si>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</si>
  <si>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</si>
  <si>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</si>
  <si>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</si>
  <si>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</si>
  <si>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</si>
  <si>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</si>
  <si>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</si>
  <si>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</si>
  <si>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</si>
  <si>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</si>
  <si>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</si>
  <si>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</si>
  <si>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</si>
  <si>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</si>
  <si>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</si>
  <si>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</si>
  <si>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</si>
  <si>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</si>
  <si>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</si>
  <si>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</si>
  <si>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</si>
  <si>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</si>
  <si>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</si>
  <si>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</si>
  <si>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</si>
  <si>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</si>
  <si>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</si>
  <si>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</si>
  <si>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</si>
  <si>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Direct Energy Business</t>
  </si>
  <si>
    <t>Totals</t>
  </si>
  <si>
    <t>Calpine Energy Solutions, LLC</t>
  </si>
  <si>
    <t>Champion Energy Services</t>
  </si>
  <si>
    <t>Choice Energy, LLC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</si>
  <si>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</si>
  <si>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</si>
  <si>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</si>
  <si>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</si>
  <si>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</si>
  <si>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</si>
  <si>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</si>
  <si>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</si>
  <si>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</si>
  <si>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</si>
  <si>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</si>
  <si>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</si>
  <si>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</si>
  <si>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</si>
  <si>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</si>
  <si>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</si>
  <si>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</si>
  <si>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</si>
  <si>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</si>
  <si>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</si>
  <si>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</si>
  <si>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</si>
  <si>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</si>
  <si>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</si>
  <si>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</si>
  <si>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</si>
  <si>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</si>
  <si>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</si>
  <si>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March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</si>
</sst>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2_Total/2022_03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2/202203_March_2022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25712.104000000003</v>
          </cell>
        </row>
        <row r="25">
          <cell r="H25">
            <v>86596.532000000065</v>
          </cell>
        </row>
        <row r="26">
          <cell r="H26">
            <v>74446.260999999999</v>
          </cell>
        </row>
        <row r="29">
          <cell r="H29">
            <v>139972.62399999998</v>
          </cell>
        </row>
        <row r="30">
          <cell r="H30">
            <v>61652.785999999993</v>
          </cell>
        </row>
        <row r="31">
          <cell r="H31">
            <v>4169.3640000000005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For Report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44850</v>
          </cell>
        </row>
        <row r="19">
          <cell r="B19">
            <v>20841</v>
          </cell>
        </row>
        <row r="20">
          <cell r="B20">
            <v>194</v>
          </cell>
        </row>
        <row r="22">
          <cell r="B22">
            <v>263549</v>
          </cell>
        </row>
        <row r="23">
          <cell r="B23">
            <v>17604</v>
          </cell>
        </row>
        <row r="24">
          <cell r="B24">
            <v>20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Normal="100" workbookViewId="0">
      <selection activeCell="F16" sqref="F16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0" width="9.140625" style="2" customWidth="1"/>
    <col min="11" max="16384" width="9.140625" style="2"/>
  </cols>
  <sheetData>
    <row r="1" spans="1:9" s="7" customFormat="1" ht="18" customHeight="1" x14ac:dyDescent="0.2">
      <c r="A1" s="21" t="s">
        <v>23</v>
      </c>
      <c r="B1" s="22"/>
      <c r="C1" s="22"/>
      <c r="D1" s="22"/>
      <c r="E1" s="22"/>
      <c r="F1" s="22"/>
      <c r="G1" s="23"/>
      <c r="H1" s="24"/>
      <c r="I1" s="24"/>
    </row>
    <row r="2" spans="1:9" s="7" customFormat="1" ht="18" customHeight="1" x14ac:dyDescent="0.2">
      <c r="A2" s="97" t="s">
        <v>84</v>
      </c>
      <c r="B2" s="97"/>
      <c r="C2" s="24"/>
      <c r="D2" s="61"/>
      <c r="E2" s="61"/>
      <c r="F2" s="61"/>
      <c r="G2" s="24"/>
      <c r="H2" s="24"/>
      <c r="I2" s="24"/>
    </row>
    <row r="4" spans="1:9" ht="18" customHeight="1" x14ac:dyDescent="0.2">
      <c r="A4" s="26" t="s">
        <v>26</v>
      </c>
      <c r="B4" s="27"/>
      <c r="C4" s="27"/>
      <c r="D4" s="27"/>
      <c r="E4" s="27"/>
      <c r="F4" s="27"/>
      <c r="G4" s="28"/>
      <c r="H4" s="24"/>
      <c r="I4" s="24"/>
    </row>
    <row r="5" spans="1:9" s="33" customFormat="1" ht="18" customHeight="1" x14ac:dyDescent="0.2">
      <c r="A5" s="2"/>
      <c r="B5" s="29" t="s">
        <v>27</v>
      </c>
      <c r="C5" s="30"/>
      <c r="D5" s="29" t="s">
        <v>5</v>
      </c>
      <c r="E5" s="31"/>
      <c r="F5" s="29" t="s">
        <v>6</v>
      </c>
      <c r="G5" s="32"/>
      <c r="H5" s="29" t="s">
        <v>29</v>
      </c>
      <c r="I5" s="31"/>
    </row>
    <row r="6" spans="1:9" ht="18" customHeight="1" x14ac:dyDescent="0.2">
      <c r="A6" s="34"/>
      <c r="B6" s="35" t="s">
        <v>7</v>
      </c>
      <c r="C6" s="36" t="s">
        <v>16</v>
      </c>
      <c r="D6" s="35" t="str">
        <f>B6</f>
        <v>MWh</v>
      </c>
      <c r="E6" s="36" t="s">
        <v>16</v>
      </c>
      <c r="F6" s="35" t="str">
        <f>D6</f>
        <v>MWh</v>
      </c>
      <c r="G6" s="36" t="s">
        <v>16</v>
      </c>
      <c r="H6" s="35" t="str">
        <f>F6</f>
        <v>MWh</v>
      </c>
      <c r="I6" s="36" t="s">
        <v>15</v>
      </c>
    </row>
    <row r="7" spans="1:9" ht="18" customHeight="1" x14ac:dyDescent="0.2">
      <c r="A7" s="37" t="s">
        <v>8</v>
      </c>
      <c r="B7" s="59">
        <f>[1]Check!$H$24</f>
        <v>25712.104000000003</v>
      </c>
      <c r="C7" s="112">
        <f>IF(B7=0,0,B7/$B$9)</f>
        <v>0.15518692827259256</v>
      </c>
      <c r="D7" s="59">
        <f>[1]Check!$H$25</f>
        <v>86596.532000000065</v>
      </c>
      <c r="E7" s="112">
        <f>IF(D7=0,0,D7/$D$9)</f>
        <v>0.5841276922434141</v>
      </c>
      <c r="F7" s="59">
        <f>[1]Check!$H$26</f>
        <v>74446.260999999999</v>
      </c>
      <c r="G7" s="112">
        <f>IF(F7=0,0,F7/$F$9)</f>
        <v>0.94696519934809398</v>
      </c>
      <c r="H7" s="114">
        <f>IF(B7+D7+F7=0,0,B7+D7+F7)</f>
        <v>186754.89700000006</v>
      </c>
      <c r="I7" s="38">
        <f>IF(H7=0,0,H7/$H$9)</f>
        <v>0.4757484486593801</v>
      </c>
    </row>
    <row r="8" spans="1:9" ht="18" customHeight="1" x14ac:dyDescent="0.2">
      <c r="A8" s="37" t="s">
        <v>9</v>
      </c>
      <c r="B8" s="115">
        <f>[1]Check!$H$29</f>
        <v>139972.62399999998</v>
      </c>
      <c r="C8" s="112">
        <f>IF(B8=0,0,B8/$B$9)</f>
        <v>0.84481307172740749</v>
      </c>
      <c r="D8" s="115">
        <f>[1]Check!$H$30</f>
        <v>61652.785999999993</v>
      </c>
      <c r="E8" s="112">
        <f>IF(D8=0,0,D8/$D$9)</f>
        <v>0.4158723077565859</v>
      </c>
      <c r="F8" s="59">
        <f>[1]Check!$H$31</f>
        <v>4169.3640000000005</v>
      </c>
      <c r="G8" s="112">
        <f>IF(F8=0,0,F8/$F$9)</f>
        <v>5.3034800651906036E-2</v>
      </c>
      <c r="H8" s="115">
        <f>IF(B8+D8+F8=0,0,B8+D8+F8)</f>
        <v>205794.77399999998</v>
      </c>
      <c r="I8" s="38">
        <f>IF(H8=0,0,H8/$H$9)</f>
        <v>0.52425155134061996</v>
      </c>
    </row>
    <row r="9" spans="1:9" ht="18" customHeight="1" x14ac:dyDescent="0.2">
      <c r="A9" s="95" t="s">
        <v>4</v>
      </c>
      <c r="B9" s="39">
        <f>SUM(B7:B8)</f>
        <v>165684.72799999997</v>
      </c>
      <c r="C9" s="40"/>
      <c r="D9" s="39">
        <f>SUM(D7:D8)</f>
        <v>148249.31800000006</v>
      </c>
      <c r="E9" s="40"/>
      <c r="F9" s="39">
        <f>SUM(F7:F8)</f>
        <v>78615.625</v>
      </c>
      <c r="G9" s="40"/>
      <c r="H9" s="39">
        <f>IF(H7+H8=0,0,H7+H8)</f>
        <v>392549.67100000003</v>
      </c>
      <c r="I9" s="41"/>
    </row>
    <row r="10" spans="1:9" ht="18" customHeight="1" x14ac:dyDescent="0.2">
      <c r="A10" s="90" t="str">
        <f>"As the above table shows, "&amp;TEXT(H7,"0,000")&amp; " MWh, or "&amp;TEXT(I7,"0.0%")&amp;" of UI's total load is served by electric suppliers"</f>
        <v>As the above table shows, 186,755 MWh, or 47.6% of UI's total load is served by electric suppliers</v>
      </c>
      <c r="H10" s="25"/>
    </row>
    <row r="11" spans="1:9" ht="18" customHeight="1" x14ac:dyDescent="0.25">
      <c r="A11" s="90" t="str">
        <f>"while "&amp;TEXT(H8,"0,000")&amp;" MHh, or "&amp;TEXT(I8,"0.0%")&amp;" of the load is provided under Standard Service or Last Resort service through UI."</f>
        <v>while 205,795 MHh, or 52.4% of the load is provided under Standard Service or Last Resort service through UI.</v>
      </c>
      <c r="B11" s="43"/>
      <c r="C11" s="44"/>
      <c r="D11" s="43"/>
      <c r="E11" s="44"/>
      <c r="F11" s="45"/>
      <c r="G11" s="46"/>
      <c r="H11" s="25"/>
    </row>
    <row r="12" spans="1:9" ht="15" x14ac:dyDescent="0.25">
      <c r="G12" s="46"/>
      <c r="H12" s="25"/>
    </row>
    <row r="13" spans="1:9" ht="18" customHeight="1" x14ac:dyDescent="0.2">
      <c r="A13" s="26" t="s">
        <v>25</v>
      </c>
      <c r="B13" s="27"/>
      <c r="C13" s="27"/>
      <c r="D13" s="27"/>
      <c r="E13" s="27"/>
      <c r="F13" s="27"/>
      <c r="G13" s="47"/>
      <c r="H13" s="23"/>
      <c r="I13" s="24"/>
    </row>
    <row r="14" spans="1:9" ht="18" customHeight="1" x14ac:dyDescent="0.25">
      <c r="A14" s="37"/>
      <c r="B14" s="29" t="s">
        <v>27</v>
      </c>
      <c r="C14" s="48"/>
      <c r="D14" s="29" t="s">
        <v>5</v>
      </c>
      <c r="E14" s="49"/>
      <c r="F14" s="29" t="s">
        <v>6</v>
      </c>
      <c r="G14" s="32"/>
      <c r="H14" s="29" t="s">
        <v>29</v>
      </c>
      <c r="I14" s="31"/>
    </row>
    <row r="15" spans="1:9" ht="18" customHeight="1" x14ac:dyDescent="0.2">
      <c r="A15" s="34"/>
      <c r="B15" s="35" t="s">
        <v>10</v>
      </c>
      <c r="C15" s="36" t="s">
        <v>16</v>
      </c>
      <c r="D15" s="35" t="str">
        <f>B15</f>
        <v>Customers</v>
      </c>
      <c r="E15" s="36" t="s">
        <v>16</v>
      </c>
      <c r="F15" s="35" t="str">
        <f>D15</f>
        <v>Customers</v>
      </c>
      <c r="G15" s="36" t="s">
        <v>16</v>
      </c>
      <c r="H15" s="35" t="str">
        <f>F15</f>
        <v>Customers</v>
      </c>
      <c r="I15" s="36" t="s">
        <v>15</v>
      </c>
    </row>
    <row r="16" spans="1:9" ht="18" customHeight="1" x14ac:dyDescent="0.2">
      <c r="A16" s="37" t="str">
        <f>A7</f>
        <v>Suppliers</v>
      </c>
      <c r="B16" s="59">
        <f>[2]Summary!$B$18</f>
        <v>44850</v>
      </c>
      <c r="C16" s="112">
        <f>IF(B16=0,0,B16/$B$18)</f>
        <v>0.14542848712220208</v>
      </c>
      <c r="D16" s="59">
        <f>[2]Summary!$B$19</f>
        <v>20841</v>
      </c>
      <c r="E16" s="113">
        <f>IF(D16=0,0,D16/$D$18)</f>
        <v>0.54209910261412408</v>
      </c>
      <c r="F16" s="59">
        <f>[2]Summary!$B$20</f>
        <v>194</v>
      </c>
      <c r="G16" s="112">
        <f>IF(F16=0,0,F16/$F$18)</f>
        <v>0.90654205607476634</v>
      </c>
      <c r="H16" s="114">
        <f>IF(B16+D16+F16=0,0,B16+D16+F16)</f>
        <v>65885</v>
      </c>
      <c r="I16" s="38">
        <f>IF(H16=0,0,H16/$H$18)</f>
        <v>0.18983858605766182</v>
      </c>
    </row>
    <row r="17" spans="1:9" ht="18" customHeight="1" x14ac:dyDescent="0.2">
      <c r="A17" s="37" t="str">
        <f>A8</f>
        <v>UI</v>
      </c>
      <c r="B17" s="60">
        <f>[2]Summary!$B$22</f>
        <v>263549</v>
      </c>
      <c r="C17" s="112">
        <f>IF(B17=0,0,B17/$B$18)</f>
        <v>0.85457151287779787</v>
      </c>
      <c r="D17" s="60">
        <f>[2]Summary!$B$23</f>
        <v>17604</v>
      </c>
      <c r="E17" s="113">
        <f>IF(D17=0,0,D17/$D$18)</f>
        <v>0.45790089738587592</v>
      </c>
      <c r="F17" s="60">
        <f>[2]Summary!$B$24</f>
        <v>20</v>
      </c>
      <c r="G17" s="112">
        <f>IF(F17=0,0,F17/$F$18)</f>
        <v>9.3457943925233641E-2</v>
      </c>
      <c r="H17" s="60">
        <f>IF(B17+D17+F17=0,0,B17+D17+F17)</f>
        <v>281173</v>
      </c>
      <c r="I17" s="38">
        <f>IF(H17=0,0,H17/$H$18)</f>
        <v>0.8101614139423382</v>
      </c>
    </row>
    <row r="18" spans="1:9" ht="18" customHeight="1" x14ac:dyDescent="0.2">
      <c r="A18" s="37" t="str">
        <f>A9</f>
        <v>Total</v>
      </c>
      <c r="B18" s="39">
        <f>SUM(B16:B17)</f>
        <v>308399</v>
      </c>
      <c r="C18" s="50"/>
      <c r="D18" s="39">
        <f>SUM(D16:D17)</f>
        <v>38445</v>
      </c>
      <c r="E18" s="40"/>
      <c r="F18" s="39">
        <f>SUM(F16:F17)</f>
        <v>214</v>
      </c>
      <c r="G18" s="40"/>
      <c r="H18" s="39">
        <f>IF(H16+H17=0,0,H16+H17)</f>
        <v>347058</v>
      </c>
      <c r="I18" s="41"/>
    </row>
    <row r="19" spans="1:9" ht="18" customHeight="1" x14ac:dyDescent="0.25">
      <c r="G19" s="46"/>
      <c r="H19" s="25"/>
    </row>
    <row r="20" spans="1:9" ht="18" customHeight="1" x14ac:dyDescent="0.25">
      <c r="A20" s="90" t="str">
        <f>"As the above table shows, "&amp;TEXT(H16,"0,000")&amp; " of UI's total customers, or "&amp;TEXT(I16,"0.0%")&amp;" are served by electric suppliers"</f>
        <v>As the above table shows, 65,885 of UI's total customers, or 19.0% are served by electric suppliers</v>
      </c>
      <c r="G20" s="46"/>
      <c r="H20" s="25"/>
    </row>
    <row r="21" spans="1:9" ht="18" customHeight="1" x14ac:dyDescent="0.25">
      <c r="A21" s="90" t="str">
        <f>"while "&amp;TEXT(H17,"0,000")&amp;" or "&amp;TEXT(I17,"0.0%")&amp;" of the customers continue to receive Standard Service or Last Resort service through UI."</f>
        <v>while 281,173 or 81.0% of the customers continue to receive Standard Service or Last Resort service through UI.</v>
      </c>
      <c r="B21" s="51"/>
      <c r="C21" s="51"/>
      <c r="D21" s="51"/>
      <c r="E21" s="51"/>
      <c r="F21" s="52"/>
      <c r="G21" s="53"/>
      <c r="H21" s="25"/>
    </row>
    <row r="22" spans="1:9" ht="18" customHeight="1" x14ac:dyDescent="0.25">
      <c r="B22" s="25"/>
      <c r="C22" s="25"/>
      <c r="D22" s="53"/>
      <c r="E22" s="53"/>
      <c r="F22" s="54"/>
      <c r="G22" s="54"/>
      <c r="H22" s="25"/>
    </row>
    <row r="24" spans="1:9" ht="13.5" x14ac:dyDescent="0.2">
      <c r="A24" s="57" t="s">
        <v>24</v>
      </c>
      <c r="I24" s="91"/>
    </row>
    <row r="25" spans="1:9" ht="13.5" x14ac:dyDescent="0.2">
      <c r="A25" s="57" t="s">
        <v>28</v>
      </c>
    </row>
    <row r="26" spans="1:9" ht="13.5" x14ac:dyDescent="0.2">
      <c r="A26" s="57" t="s">
        <v>45</v>
      </c>
    </row>
    <row r="27" spans="1:9" x14ac:dyDescent="0.2">
      <c r="A27" s="58" t="s">
        <v>14</v>
      </c>
    </row>
    <row r="28" spans="1:9" x14ac:dyDescent="0.2">
      <c r="A28" s="58" t="s">
        <v>20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showGridLines="0" showZeros="0" view="pageLayout" zoomScaleNormal="100" workbookViewId="0">
      <selection activeCell="B1" sqref="B1"/>
    </sheetView>
  </sheetViews>
  <sheetFormatPr defaultColWidth="9.140625" defaultRowHeight="12.75" x14ac:dyDescent="0.2"/>
  <cols>
    <col min="1" max="1" width="4.42578125" style="1" customWidth="1"/>
    <col min="2" max="2" width="37.42578125" style="1" bestFit="1" customWidth="1"/>
    <col min="3" max="3" width="11.28515625" style="1" bestFit="1" customWidth="1"/>
    <col min="4" max="4" width="9.140625" style="1" bestFit="1" customWidth="1"/>
    <col min="5" max="5" width="8" style="1" customWidth="1"/>
    <col min="6" max="6" width="13.140625" style="1" bestFit="1" customWidth="1"/>
    <col min="7" max="16384" width="9.140625" style="2"/>
  </cols>
  <sheetData>
    <row r="1" spans="1:6" s="7" customFormat="1" ht="18" customHeight="1" x14ac:dyDescent="0.2">
      <c r="A1" s="11" t="s">
        <v>80</v>
      </c>
      <c r="B1" s="12"/>
      <c r="C1" s="12"/>
      <c r="D1" s="12"/>
      <c r="E1" s="12"/>
      <c r="F1" s="6"/>
    </row>
    <row r="2" spans="1:6" s="7" customFormat="1" ht="18" customHeight="1" x14ac:dyDescent="0.2">
      <c r="A2" s="8" t="str">
        <f>'Summary Load Customers '!A2</f>
        <v>Data as of March 31, 2022</v>
      </c>
      <c r="B2" s="12"/>
      <c r="C2" s="12"/>
      <c r="D2" s="12"/>
      <c r="E2" s="12"/>
      <c r="F2" s="13"/>
    </row>
    <row r="3" spans="1:6" s="7" customFormat="1" ht="18" customHeight="1" x14ac:dyDescent="0.2">
      <c r="A3" s="14"/>
      <c r="B3" s="5"/>
      <c r="C3" s="15"/>
      <c r="D3" s="15"/>
      <c r="E3" s="9"/>
      <c r="F3" s="9"/>
    </row>
    <row r="4" spans="1:6" x14ac:dyDescent="0.2">
      <c r="A4" s="16"/>
      <c r="B4" s="17"/>
      <c r="C4" s="3" t="s">
        <v>0</v>
      </c>
      <c r="D4" s="10"/>
      <c r="E4" s="10"/>
      <c r="F4" s="18"/>
    </row>
    <row r="5" spans="1:6" s="7" customFormat="1" ht="25.5" x14ac:dyDescent="0.2">
      <c r="A5" s="19"/>
      <c r="B5" s="4" t="s">
        <v>1</v>
      </c>
      <c r="C5" s="4" t="s">
        <v>2</v>
      </c>
      <c r="D5" s="4" t="s">
        <v>3</v>
      </c>
      <c r="E5" s="4" t="s">
        <v>4</v>
      </c>
      <c r="F5" s="4" t="s">
        <v>21</v>
      </c>
    </row>
    <row r="6" spans="1:6" x14ac:dyDescent="0.2">
      <c r="A6" s="93">
        <v>1</v>
      </c>
      <c r="B6" t="s">
        <v>46</v>
      </c>
      <c r="C6" s="99">
        <v>4306</v>
      </c>
      <c r="D6" s="100">
        <v>557</v>
      </c>
      <c r="E6" s="101">
        <v>4863</v>
      </c>
      <c r="F6" s="20">
        <f t="shared" ref="F6:F38" si="0">IF(E6=0,"",E6/$E$39)</f>
        <v>7.7866555649848693E-2</v>
      </c>
    </row>
    <row r="7" spans="1:6" ht="14.25" customHeight="1" x14ac:dyDescent="0.2">
      <c r="A7" s="93">
        <v>2</v>
      </c>
      <c r="B7" t="s">
        <v>53</v>
      </c>
      <c r="C7" s="102">
        <v>110</v>
      </c>
      <c r="D7" s="98">
        <v>2645</v>
      </c>
      <c r="E7" s="103">
        <v>2755</v>
      </c>
      <c r="F7" s="20">
        <f t="shared" si="0"/>
        <v>4.4113173106175844E-2</v>
      </c>
    </row>
    <row r="8" spans="1:6" ht="14.25" customHeight="1" x14ac:dyDescent="0.2">
      <c r="A8" s="93">
        <v>3</v>
      </c>
      <c r="B8" t="s">
        <v>54</v>
      </c>
      <c r="C8" s="102">
        <v>4</v>
      </c>
      <c r="D8" s="98">
        <v>164</v>
      </c>
      <c r="E8" s="103">
        <v>168</v>
      </c>
      <c r="F8" s="20">
        <f t="shared" si="0"/>
        <v>2.6900228972187084E-3</v>
      </c>
    </row>
    <row r="9" spans="1:6" ht="14.25" customHeight="1" x14ac:dyDescent="0.2">
      <c r="A9" s="93">
        <v>4</v>
      </c>
      <c r="B9" t="s">
        <v>55</v>
      </c>
      <c r="C9" s="102">
        <v>309</v>
      </c>
      <c r="D9" s="98">
        <v>7</v>
      </c>
      <c r="E9" s="103">
        <v>316</v>
      </c>
      <c r="F9" s="20">
        <f t="shared" si="0"/>
        <v>5.0598049733399514E-3</v>
      </c>
    </row>
    <row r="10" spans="1:6" ht="14.25" customHeight="1" x14ac:dyDescent="0.2">
      <c r="A10" s="93">
        <v>5</v>
      </c>
      <c r="B10" t="s">
        <v>56</v>
      </c>
      <c r="C10" s="102">
        <v>268</v>
      </c>
      <c r="D10" s="98">
        <v>51</v>
      </c>
      <c r="E10" s="103">
        <v>319</v>
      </c>
      <c r="F10" s="20">
        <f t="shared" si="0"/>
        <v>5.1078410965045718E-3</v>
      </c>
    </row>
    <row r="11" spans="1:6" ht="14.25" customHeight="1" x14ac:dyDescent="0.2">
      <c r="A11" s="93">
        <v>6</v>
      </c>
      <c r="B11" t="s">
        <v>57</v>
      </c>
      <c r="C11" s="102">
        <v>839</v>
      </c>
      <c r="D11" s="98">
        <v>4869</v>
      </c>
      <c r="E11" s="103">
        <v>5708</v>
      </c>
      <c r="F11" s="20">
        <f t="shared" si="0"/>
        <v>9.1396730341216592E-2</v>
      </c>
    </row>
    <row r="12" spans="1:6" ht="14.25" customHeight="1" x14ac:dyDescent="0.2">
      <c r="A12" s="93">
        <v>7</v>
      </c>
      <c r="B12" t="s">
        <v>58</v>
      </c>
      <c r="C12" s="102">
        <v>13966</v>
      </c>
      <c r="D12" s="98">
        <v>1271</v>
      </c>
      <c r="E12" s="103">
        <v>15237</v>
      </c>
      <c r="F12" s="20">
        <f t="shared" si="0"/>
        <v>0.24397546955310392</v>
      </c>
    </row>
    <row r="13" spans="1:6" ht="14.25" customHeight="1" x14ac:dyDescent="0.2">
      <c r="A13" s="93">
        <v>8</v>
      </c>
      <c r="B13" t="s">
        <v>51</v>
      </c>
      <c r="C13" s="102">
        <v>225</v>
      </c>
      <c r="D13" s="98">
        <v>2088</v>
      </c>
      <c r="E13" s="103">
        <v>2313</v>
      </c>
      <c r="F13" s="20">
        <f t="shared" si="0"/>
        <v>3.7035850959921859E-2</v>
      </c>
    </row>
    <row r="14" spans="1:6" ht="14.25" customHeight="1" x14ac:dyDescent="0.2">
      <c r="A14" s="93">
        <v>9</v>
      </c>
      <c r="B14" t="s">
        <v>59</v>
      </c>
      <c r="C14" s="102">
        <v>4503</v>
      </c>
      <c r="D14" s="98">
        <v>1193</v>
      </c>
      <c r="E14" s="103">
        <v>5696</v>
      </c>
      <c r="F14" s="20">
        <f t="shared" si="0"/>
        <v>9.1204585848558117E-2</v>
      </c>
    </row>
    <row r="15" spans="1:6" ht="14.25" customHeight="1" x14ac:dyDescent="0.2">
      <c r="A15" s="93">
        <v>10</v>
      </c>
      <c r="B15" t="s">
        <v>60</v>
      </c>
      <c r="C15" s="102">
        <v>957</v>
      </c>
      <c r="D15" s="98">
        <v>269</v>
      </c>
      <c r="E15" s="103">
        <v>1226</v>
      </c>
      <c r="F15" s="20">
        <f t="shared" si="0"/>
        <v>1.9630762333274623E-2</v>
      </c>
    </row>
    <row r="16" spans="1:6" ht="14.25" customHeight="1" x14ac:dyDescent="0.2">
      <c r="A16" s="93">
        <v>11</v>
      </c>
      <c r="B16" t="s">
        <v>82</v>
      </c>
      <c r="C16" s="102">
        <v>558</v>
      </c>
      <c r="D16" s="98">
        <v>336</v>
      </c>
      <c r="E16" s="103">
        <v>894</v>
      </c>
      <c r="F16" s="20">
        <f t="shared" si="0"/>
        <v>1.4314764703056699E-2</v>
      </c>
    </row>
    <row r="17" spans="1:6" ht="14.25" customHeight="1" x14ac:dyDescent="0.2">
      <c r="A17" s="93">
        <v>12</v>
      </c>
      <c r="B17" t="s">
        <v>61</v>
      </c>
      <c r="C17" s="102">
        <v>13</v>
      </c>
      <c r="D17" s="98">
        <v>127</v>
      </c>
      <c r="E17" s="103">
        <v>140</v>
      </c>
      <c r="F17" s="20">
        <f t="shared" si="0"/>
        <v>2.241685747682257E-3</v>
      </c>
    </row>
    <row r="18" spans="1:6" ht="14.25" customHeight="1" x14ac:dyDescent="0.2">
      <c r="A18" s="93">
        <v>13</v>
      </c>
      <c r="B18" t="s">
        <v>62</v>
      </c>
      <c r="C18" s="102">
        <v>280</v>
      </c>
      <c r="D18" s="98">
        <v>68</v>
      </c>
      <c r="E18" s="103">
        <v>348</v>
      </c>
      <c r="F18" s="20">
        <f t="shared" si="0"/>
        <v>5.572190287095896E-3</v>
      </c>
    </row>
    <row r="19" spans="1:6" ht="14.25" customHeight="1" x14ac:dyDescent="0.2">
      <c r="A19" s="93">
        <v>14</v>
      </c>
      <c r="B19" t="s">
        <v>63</v>
      </c>
      <c r="C19" s="102">
        <v>56</v>
      </c>
      <c r="D19" s="98"/>
      <c r="E19" s="103">
        <v>56</v>
      </c>
      <c r="F19" s="20">
        <f t="shared" si="0"/>
        <v>8.9667429907290281E-4</v>
      </c>
    </row>
    <row r="20" spans="1:6" ht="14.25" customHeight="1" x14ac:dyDescent="0.2">
      <c r="A20" s="93">
        <v>15</v>
      </c>
      <c r="B20" t="s">
        <v>64</v>
      </c>
      <c r="C20" s="102">
        <v>689</v>
      </c>
      <c r="D20" s="98">
        <v>1136</v>
      </c>
      <c r="E20" s="103">
        <v>1825</v>
      </c>
      <c r="F20" s="20">
        <f t="shared" si="0"/>
        <v>2.9221974925143709E-2</v>
      </c>
    </row>
    <row r="21" spans="1:6" ht="14.25" customHeight="1" x14ac:dyDescent="0.2">
      <c r="A21" s="93">
        <v>16</v>
      </c>
      <c r="B21" t="s">
        <v>65</v>
      </c>
      <c r="C21" s="102">
        <v>174</v>
      </c>
      <c r="D21" s="98">
        <v>144</v>
      </c>
      <c r="E21" s="103">
        <v>318</v>
      </c>
      <c r="F21" s="20">
        <f t="shared" si="0"/>
        <v>5.0918290554496978E-3</v>
      </c>
    </row>
    <row r="22" spans="1:6" ht="14.25" customHeight="1" x14ac:dyDescent="0.2">
      <c r="A22" s="93">
        <v>17</v>
      </c>
      <c r="B22" t="s">
        <v>66</v>
      </c>
      <c r="C22" s="102">
        <v>1976</v>
      </c>
      <c r="D22" s="98">
        <v>160</v>
      </c>
      <c r="E22" s="103">
        <v>2136</v>
      </c>
      <c r="F22" s="20">
        <f t="shared" si="0"/>
        <v>3.4201719693209294E-2</v>
      </c>
    </row>
    <row r="23" spans="1:6" ht="14.25" customHeight="1" x14ac:dyDescent="0.2">
      <c r="A23" s="93">
        <v>18</v>
      </c>
      <c r="B23" t="s">
        <v>67</v>
      </c>
      <c r="C23" s="102">
        <v>2</v>
      </c>
      <c r="D23" s="98">
        <v>164</v>
      </c>
      <c r="E23" s="103">
        <v>166</v>
      </c>
      <c r="F23" s="20">
        <f t="shared" si="0"/>
        <v>2.6579988151089621E-3</v>
      </c>
    </row>
    <row r="24" spans="1:6" ht="14.25" customHeight="1" x14ac:dyDescent="0.2">
      <c r="A24" s="93">
        <v>19</v>
      </c>
      <c r="B24" t="s">
        <v>83</v>
      </c>
      <c r="C24" s="102">
        <v>14</v>
      </c>
      <c r="D24" s="98"/>
      <c r="E24" s="103">
        <v>14</v>
      </c>
      <c r="F24" s="20">
        <f t="shared" si="0"/>
        <v>2.241685747682257E-4</v>
      </c>
    </row>
    <row r="25" spans="1:6" ht="14.25" customHeight="1" x14ac:dyDescent="0.2">
      <c r="A25" s="93">
        <v>20</v>
      </c>
      <c r="B25" t="s">
        <v>68</v>
      </c>
      <c r="C25" s="102">
        <v>48</v>
      </c>
      <c r="D25" s="98">
        <v>692</v>
      </c>
      <c r="E25" s="103">
        <v>740</v>
      </c>
      <c r="F25" s="20">
        <f t="shared" si="0"/>
        <v>1.1848910380606216E-2</v>
      </c>
    </row>
    <row r="26" spans="1:6" ht="14.25" customHeight="1" x14ac:dyDescent="0.2">
      <c r="A26" s="93">
        <v>21</v>
      </c>
      <c r="B26" t="s">
        <v>69</v>
      </c>
      <c r="C26" s="102">
        <v>3089</v>
      </c>
      <c r="D26" s="98">
        <v>126</v>
      </c>
      <c r="E26" s="103">
        <v>3215</v>
      </c>
      <c r="F26" s="20">
        <f t="shared" si="0"/>
        <v>5.1478711991417549E-2</v>
      </c>
    </row>
    <row r="27" spans="1:6" ht="14.25" customHeight="1" x14ac:dyDescent="0.2">
      <c r="A27" s="93">
        <v>22</v>
      </c>
      <c r="B27" t="s">
        <v>70</v>
      </c>
      <c r="C27" s="102">
        <v>639</v>
      </c>
      <c r="D27" s="98">
        <v>96</v>
      </c>
      <c r="E27" s="103">
        <v>735</v>
      </c>
      <c r="F27" s="20">
        <f t="shared" si="0"/>
        <v>1.1768850175331849E-2</v>
      </c>
    </row>
    <row r="28" spans="1:6" ht="14.25" customHeight="1" x14ac:dyDescent="0.2">
      <c r="A28" s="93">
        <v>23</v>
      </c>
      <c r="B28" t="s">
        <v>71</v>
      </c>
      <c r="C28" s="102">
        <v>2292</v>
      </c>
      <c r="D28" s="98">
        <v>449</v>
      </c>
      <c r="E28" s="103">
        <v>2741</v>
      </c>
      <c r="F28" s="20">
        <f t="shared" si="0"/>
        <v>4.3889004531407622E-2</v>
      </c>
    </row>
    <row r="29" spans="1:6" ht="14.25" customHeight="1" x14ac:dyDescent="0.2">
      <c r="A29" s="93">
        <v>24</v>
      </c>
      <c r="B29" t="s">
        <v>72</v>
      </c>
      <c r="C29" s="102">
        <v>50</v>
      </c>
      <c r="D29" s="98">
        <v>44</v>
      </c>
      <c r="E29" s="103">
        <v>94</v>
      </c>
      <c r="F29" s="20">
        <f t="shared" si="0"/>
        <v>1.505131859158087E-3</v>
      </c>
    </row>
    <row r="30" spans="1:6" ht="14.25" customHeight="1" x14ac:dyDescent="0.2">
      <c r="A30" s="93">
        <v>25</v>
      </c>
      <c r="B30" t="s">
        <v>73</v>
      </c>
      <c r="C30" s="102"/>
      <c r="D30" s="98">
        <v>3</v>
      </c>
      <c r="E30" s="103">
        <v>3</v>
      </c>
      <c r="F30" s="20">
        <f t="shared" si="0"/>
        <v>4.8036123164619791E-5</v>
      </c>
    </row>
    <row r="31" spans="1:6" ht="14.25" customHeight="1" x14ac:dyDescent="0.2">
      <c r="A31" s="93">
        <v>26</v>
      </c>
      <c r="B31" t="s">
        <v>74</v>
      </c>
      <c r="C31" s="102"/>
      <c r="D31" s="98">
        <v>11</v>
      </c>
      <c r="E31" s="103">
        <v>11</v>
      </c>
      <c r="F31" s="20">
        <f t="shared" si="0"/>
        <v>1.7613245160360592E-4</v>
      </c>
    </row>
    <row r="32" spans="1:6" ht="14.25" customHeight="1" x14ac:dyDescent="0.2">
      <c r="A32" s="93">
        <v>27</v>
      </c>
      <c r="B32" t="s">
        <v>50</v>
      </c>
      <c r="C32" s="102">
        <v>57</v>
      </c>
      <c r="D32" s="98">
        <v>57</v>
      </c>
      <c r="E32" s="103">
        <v>114</v>
      </c>
      <c r="F32" s="20">
        <f t="shared" si="0"/>
        <v>1.8253726802555522E-3</v>
      </c>
    </row>
    <row r="33" spans="1:6" ht="14.25" customHeight="1" x14ac:dyDescent="0.2">
      <c r="A33" s="93">
        <v>28</v>
      </c>
      <c r="B33" t="s">
        <v>75</v>
      </c>
      <c r="C33" s="102">
        <v>4901</v>
      </c>
      <c r="D33" s="98">
        <v>159</v>
      </c>
      <c r="E33" s="103">
        <v>5060</v>
      </c>
      <c r="F33" s="20">
        <f t="shared" si="0"/>
        <v>8.1020927737658718E-2</v>
      </c>
    </row>
    <row r="34" spans="1:6" ht="14.25" customHeight="1" x14ac:dyDescent="0.2">
      <c r="A34" s="93">
        <v>29</v>
      </c>
      <c r="B34" t="s">
        <v>76</v>
      </c>
      <c r="C34" s="102">
        <v>2699</v>
      </c>
      <c r="D34" s="98">
        <v>194</v>
      </c>
      <c r="E34" s="103">
        <v>2893</v>
      </c>
      <c r="F34" s="20">
        <f t="shared" si="0"/>
        <v>4.6322834771748353E-2</v>
      </c>
    </row>
    <row r="35" spans="1:6" ht="14.25" customHeight="1" x14ac:dyDescent="0.2">
      <c r="A35" s="93">
        <v>30</v>
      </c>
      <c r="B35" t="s">
        <v>77</v>
      </c>
      <c r="C35" s="102">
        <v>249</v>
      </c>
      <c r="D35" s="98">
        <v>54</v>
      </c>
      <c r="E35" s="103">
        <v>303</v>
      </c>
      <c r="F35" s="20">
        <f t="shared" si="0"/>
        <v>4.8516484396265991E-3</v>
      </c>
    </row>
    <row r="36" spans="1:6" ht="14.25" customHeight="1" x14ac:dyDescent="0.2">
      <c r="A36" s="93">
        <v>31</v>
      </c>
      <c r="B36" t="s">
        <v>79</v>
      </c>
      <c r="C36" s="102">
        <v>27</v>
      </c>
      <c r="D36" s="98">
        <v>16</v>
      </c>
      <c r="E36" s="103">
        <v>43</v>
      </c>
      <c r="F36" s="20">
        <f t="shared" si="0"/>
        <v>6.885177653595504E-4</v>
      </c>
    </row>
    <row r="37" spans="1:6" ht="14.25" customHeight="1" x14ac:dyDescent="0.2">
      <c r="A37" s="93">
        <v>32</v>
      </c>
      <c r="B37" t="s">
        <v>78</v>
      </c>
      <c r="C37" s="102">
        <v>1548</v>
      </c>
      <c r="D37" s="98">
        <v>304</v>
      </c>
      <c r="E37" s="103">
        <v>1852</v>
      </c>
      <c r="F37" s="20">
        <f t="shared" si="0"/>
        <v>2.9654300033625285E-2</v>
      </c>
    </row>
    <row r="38" spans="1:6" ht="14.25" customHeight="1" x14ac:dyDescent="0.2">
      <c r="A38" s="93">
        <v>33</v>
      </c>
      <c r="B38" t="s">
        <v>81</v>
      </c>
      <c r="C38" s="102">
        <v>2</v>
      </c>
      <c r="D38" s="98">
        <v>149</v>
      </c>
      <c r="E38" s="103">
        <v>151</v>
      </c>
      <c r="F38" s="20">
        <f t="shared" si="0"/>
        <v>2.4178181992858629E-3</v>
      </c>
    </row>
    <row r="39" spans="1:6" ht="14.25" customHeight="1" x14ac:dyDescent="0.2">
      <c r="A39" s="93"/>
      <c r="B39" s="109" t="s">
        <v>52</v>
      </c>
      <c r="C39" s="110">
        <v>44850</v>
      </c>
      <c r="D39" s="104">
        <v>17603</v>
      </c>
      <c r="E39" s="105">
        <v>62453</v>
      </c>
      <c r="F39" s="20">
        <f>SUM(F6:F38)</f>
        <v>0.99999999999999989</v>
      </c>
    </row>
    <row r="40" spans="1:6" x14ac:dyDescent="0.2">
      <c r="A40" s="94"/>
      <c r="B40" s="106"/>
      <c r="C40" s="107"/>
      <c r="D40" s="107"/>
      <c r="E40" s="107"/>
      <c r="F40" s="108"/>
    </row>
    <row r="41" spans="1:6" x14ac:dyDescent="0.2">
      <c r="A41" s="1" t="s">
        <v>19</v>
      </c>
      <c r="B41" s="92"/>
    </row>
    <row r="42" spans="1:6" x14ac:dyDescent="0.2">
      <c r="A42" s="1" t="s">
        <v>18</v>
      </c>
    </row>
    <row r="43" spans="1:6" x14ac:dyDescent="0.2">
      <c r="A43" s="1" t="s">
        <v>14</v>
      </c>
    </row>
  </sheetData>
  <sortState xmlns:xlrd2="http://schemas.microsoft.com/office/spreadsheetml/2017/richdata2" ref="B6:E3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7" sqref="A7:XFD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7" customFormat="1" ht="15.75" x14ac:dyDescent="0.2">
      <c r="A1" s="122" t="s">
        <v>44</v>
      </c>
      <c r="B1" s="122"/>
      <c r="C1" s="122"/>
      <c r="D1" s="122"/>
      <c r="E1" s="122"/>
      <c r="F1" s="122"/>
      <c r="G1" s="122"/>
      <c r="H1" s="24"/>
      <c r="I1" s="24"/>
    </row>
    <row r="2" spans="1:9" s="7" customFormat="1" ht="15.75" x14ac:dyDescent="0.2">
      <c r="A2" s="122" t="s">
        <v>43</v>
      </c>
      <c r="B2" s="122"/>
      <c r="C2" s="122"/>
      <c r="D2" s="122"/>
      <c r="E2" s="122"/>
      <c r="F2" s="122"/>
      <c r="G2" s="122"/>
      <c r="H2" s="24"/>
      <c r="I2" s="24"/>
    </row>
    <row r="3" spans="1:9" s="7" customFormat="1" x14ac:dyDescent="0.2">
      <c r="A3" s="123" t="str">
        <f>'Summary Load Customers '!A2</f>
        <v>Data as of March 31, 2022</v>
      </c>
      <c r="B3" s="123"/>
      <c r="C3" s="123"/>
      <c r="D3" s="123"/>
      <c r="E3" s="123"/>
      <c r="F3" s="123"/>
      <c r="G3" s="123"/>
      <c r="H3" s="24"/>
      <c r="I3" s="24"/>
    </row>
    <row r="4" spans="1:9" s="7" customFormat="1" x14ac:dyDescent="0.2">
      <c r="A4" s="2"/>
      <c r="B4" s="24"/>
      <c r="C4" s="24"/>
      <c r="D4" s="61"/>
      <c r="E4" s="61"/>
      <c r="F4" s="61"/>
      <c r="G4" s="24"/>
      <c r="H4" s="24"/>
      <c r="I4" s="24"/>
    </row>
    <row r="5" spans="1:9" s="7" customFormat="1" ht="15.75" x14ac:dyDescent="0.25">
      <c r="A5" s="120" t="s">
        <v>37</v>
      </c>
      <c r="B5" s="120"/>
      <c r="C5" s="120"/>
      <c r="D5" s="120"/>
      <c r="E5" s="120"/>
      <c r="F5" s="120"/>
      <c r="G5" s="120"/>
      <c r="H5" s="25"/>
      <c r="I5" s="24"/>
    </row>
    <row r="6" spans="1:9" s="7" customFormat="1" ht="15" x14ac:dyDescent="0.25">
      <c r="A6" s="118"/>
      <c r="B6" s="117"/>
      <c r="C6" s="117"/>
      <c r="D6" s="53"/>
      <c r="E6" s="53"/>
      <c r="F6" s="54"/>
      <c r="G6" s="54"/>
      <c r="H6" s="55"/>
      <c r="I6" s="24"/>
    </row>
    <row r="7" spans="1:9" ht="24" customHeight="1" x14ac:dyDescent="0.2">
      <c r="A7" s="121" t="s">
        <v>48</v>
      </c>
      <c r="B7" s="121"/>
      <c r="C7" s="121"/>
      <c r="D7" s="121"/>
      <c r="E7" s="121"/>
      <c r="F7" s="121"/>
      <c r="G7" s="121"/>
      <c r="H7" s="25"/>
    </row>
    <row r="8" spans="1:9" ht="15" x14ac:dyDescent="0.2">
      <c r="A8" s="37"/>
      <c r="B8" s="27"/>
      <c r="C8" s="27"/>
      <c r="D8" s="27"/>
      <c r="E8" s="27"/>
      <c r="F8" s="27"/>
      <c r="G8" s="47"/>
      <c r="H8" s="23"/>
      <c r="I8" s="56"/>
    </row>
    <row r="9" spans="1:9" ht="15" x14ac:dyDescent="0.25">
      <c r="A9" s="34"/>
      <c r="B9" s="29" t="s">
        <v>2</v>
      </c>
      <c r="C9" s="48"/>
      <c r="D9" s="29" t="s">
        <v>22</v>
      </c>
      <c r="E9" s="49"/>
      <c r="F9" s="29" t="s">
        <v>29</v>
      </c>
      <c r="G9" s="31"/>
    </row>
    <row r="10" spans="1:9" ht="15" x14ac:dyDescent="0.2">
      <c r="A10" s="37" t="s">
        <v>39</v>
      </c>
      <c r="B10" s="35" t="s">
        <v>10</v>
      </c>
      <c r="C10" s="36" t="s">
        <v>16</v>
      </c>
      <c r="D10" s="35" t="str">
        <f>B10</f>
        <v>Customers</v>
      </c>
      <c r="E10" s="36" t="s">
        <v>16</v>
      </c>
      <c r="F10" s="35" t="str">
        <f>B10</f>
        <v>Customers</v>
      </c>
      <c r="G10" s="36" t="s">
        <v>15</v>
      </c>
      <c r="I10" s="24"/>
    </row>
    <row r="11" spans="1:9" ht="14.25" x14ac:dyDescent="0.2">
      <c r="B11" s="39">
        <f>REC_programs_detail!B20</f>
        <v>2274</v>
      </c>
      <c r="C11" s="40">
        <f>IF(B11=0,0,B11/'Summary Load Customers '!$B$18)</f>
        <v>7.3735647651256972E-3</v>
      </c>
      <c r="D11" s="39">
        <f>REC_programs_detail!C20</f>
        <v>28</v>
      </c>
      <c r="E11" s="40">
        <f>IF(D11=0,0,D11/('Summary Load Customers '!$D$18+'Summary Load Customers '!$F$18))</f>
        <v>7.2428153858092553E-4</v>
      </c>
      <c r="F11" s="39">
        <f>B11+D11</f>
        <v>2302</v>
      </c>
      <c r="G11" s="40">
        <f>IF(F11=0,0,F11/'Summary Load Customers '!$H$18)</f>
        <v>6.6328970950100558E-3</v>
      </c>
    </row>
    <row r="12" spans="1:9" ht="15" x14ac:dyDescent="0.25">
      <c r="A12" s="90" t="str">
        <f>"As the above table shows, "&amp;TEXT(F11,"0,000")&amp;" of UI's customers, or "&amp;TEXT(G11,"0.0%")&amp;" are participating in the CTCleanEnergyOptions Program."</f>
        <v>As the above table shows, 2,302 of UI's customers, or 0.7% are participating in the CTCleanEnergyOptions Program.</v>
      </c>
      <c r="G12" s="46"/>
      <c r="H12" s="25"/>
    </row>
    <row r="13" spans="1:9" ht="15" x14ac:dyDescent="0.25">
      <c r="G13" s="46"/>
      <c r="H13" s="25"/>
    </row>
    <row r="14" spans="1:9" ht="15" x14ac:dyDescent="0.25">
      <c r="A14" s="116" t="s">
        <v>38</v>
      </c>
      <c r="G14" s="46"/>
      <c r="H14" s="25"/>
    </row>
    <row r="15" spans="1:9" ht="15" x14ac:dyDescent="0.2">
      <c r="A15" s="37"/>
      <c r="B15" s="27"/>
      <c r="C15" s="27"/>
      <c r="D15" s="27"/>
      <c r="E15" s="27"/>
      <c r="F15" s="27"/>
      <c r="G15" s="47"/>
      <c r="H15" s="23"/>
    </row>
    <row r="16" spans="1:9" ht="15" x14ac:dyDescent="0.25">
      <c r="A16" s="34"/>
      <c r="B16" s="29" t="s">
        <v>2</v>
      </c>
      <c r="C16" s="48"/>
      <c r="D16" s="29" t="s">
        <v>22</v>
      </c>
      <c r="E16" s="49"/>
      <c r="F16" s="29" t="s">
        <v>29</v>
      </c>
      <c r="G16" s="31"/>
    </row>
    <row r="17" spans="1:9" ht="15" x14ac:dyDescent="0.2">
      <c r="A17" s="37" t="s">
        <v>40</v>
      </c>
      <c r="B17" s="35" t="s">
        <v>10</v>
      </c>
      <c r="C17" s="36" t="s">
        <v>16</v>
      </c>
      <c r="D17" s="35" t="str">
        <f>B17</f>
        <v>Customers</v>
      </c>
      <c r="E17" s="36" t="s">
        <v>16</v>
      </c>
      <c r="F17" s="35" t="str">
        <f>B17</f>
        <v>Customers</v>
      </c>
      <c r="G17" s="36" t="s">
        <v>15</v>
      </c>
      <c r="I17" s="24"/>
    </row>
    <row r="18" spans="1:9" ht="14.25" x14ac:dyDescent="0.2">
      <c r="B18" s="39">
        <f>REC_programs_detail!B26</f>
        <v>519</v>
      </c>
      <c r="C18" s="40">
        <f>IF(B18=0,0,B18/'Summary Load Customers '!$B$18)</f>
        <v>1.6828848342569204E-3</v>
      </c>
      <c r="D18" s="39">
        <f>REC_programs_detail!C26</f>
        <v>55</v>
      </c>
      <c r="E18" s="40">
        <f>IF(D18=0,0,D18/('Summary Load Customers '!$D$18+'Summary Load Customers '!$F$18))</f>
        <v>1.4226958793553894E-3</v>
      </c>
      <c r="F18" s="39">
        <f>B18+D18</f>
        <v>574</v>
      </c>
      <c r="G18" s="40">
        <f>IF(F18=0,0,F18/'Summary Load Customers '!$H$18)</f>
        <v>1.6539022295985108E-3</v>
      </c>
    </row>
    <row r="19" spans="1:9" ht="14.25" x14ac:dyDescent="0.2">
      <c r="A19" s="90" t="str">
        <f>"As the above table shows, "&amp;TEXT(F18,"0,000")&amp;" of UI's customers, or "&amp;TEXT(G18,"0.0%")&amp;" are participating in the REC only program."</f>
        <v>As the above table shows, 0,574 of UI's customers, or 0.2% are participating in the REC only program.</v>
      </c>
      <c r="B19" s="45"/>
      <c r="C19" s="44"/>
      <c r="D19" s="45"/>
      <c r="E19" s="44"/>
      <c r="F19" s="45"/>
      <c r="G19" s="44"/>
      <c r="H19" s="45"/>
    </row>
    <row r="20" spans="1:9" ht="14.25" x14ac:dyDescent="0.2">
      <c r="A20" s="42"/>
      <c r="B20" s="45"/>
      <c r="C20" s="44"/>
      <c r="D20" s="45"/>
      <c r="E20" s="44"/>
      <c r="F20" s="45"/>
      <c r="G20" s="44"/>
      <c r="H20" s="45"/>
    </row>
    <row r="21" spans="1:9" ht="15" x14ac:dyDescent="0.25">
      <c r="A21" s="119" t="s">
        <v>42</v>
      </c>
      <c r="B21" s="119"/>
      <c r="C21" s="119"/>
      <c r="D21" s="119"/>
      <c r="E21" s="119"/>
      <c r="F21" s="119"/>
      <c r="G21" s="119"/>
      <c r="I21" s="44"/>
    </row>
    <row r="22" spans="1:9" ht="15" x14ac:dyDescent="0.2">
      <c r="A22" s="37"/>
      <c r="B22" s="27"/>
      <c r="C22" s="27"/>
      <c r="D22" s="27"/>
      <c r="E22" s="27"/>
      <c r="F22" s="27"/>
      <c r="G22" s="47"/>
      <c r="H22" s="23"/>
      <c r="I22" s="44"/>
    </row>
    <row r="23" spans="1:9" ht="15" x14ac:dyDescent="0.25">
      <c r="A23" s="34"/>
      <c r="B23" s="29" t="s">
        <v>2</v>
      </c>
      <c r="C23" s="48"/>
      <c r="D23" s="29" t="s">
        <v>22</v>
      </c>
      <c r="E23" s="49"/>
      <c r="F23" s="29" t="s">
        <v>29</v>
      </c>
      <c r="G23" s="31"/>
    </row>
    <row r="24" spans="1:9" ht="15" x14ac:dyDescent="0.2">
      <c r="A24" s="37" t="s">
        <v>41</v>
      </c>
      <c r="B24" s="35" t="s">
        <v>10</v>
      </c>
      <c r="C24" s="36" t="s">
        <v>16</v>
      </c>
      <c r="D24" s="35" t="str">
        <f>B24</f>
        <v>Customers</v>
      </c>
      <c r="E24" s="36" t="s">
        <v>16</v>
      </c>
      <c r="F24" s="35" t="str">
        <f>B24</f>
        <v>Customers</v>
      </c>
      <c r="G24" s="36" t="s">
        <v>15</v>
      </c>
      <c r="I24" s="24"/>
    </row>
    <row r="25" spans="1:9" ht="14.25" x14ac:dyDescent="0.2">
      <c r="B25" s="39">
        <f>B11+B18</f>
        <v>2793</v>
      </c>
      <c r="C25" s="40">
        <f>IF(B25=0,0,B25/'Summary Load Customers '!$B$18)</f>
        <v>9.0564495993826176E-3</v>
      </c>
      <c r="D25" s="39">
        <f>D11+D18</f>
        <v>83</v>
      </c>
      <c r="E25" s="40">
        <f>IF(D25=0,0,D25/('Summary Load Customers '!$D$18+'Summary Load Customers '!$F$18))</f>
        <v>2.1469774179363149E-3</v>
      </c>
      <c r="F25" s="39">
        <f>B25+D25</f>
        <v>2876</v>
      </c>
      <c r="G25" s="40">
        <f>IF(F25=0,0,F25/'Summary Load Customers '!$H$18)</f>
        <v>8.2867993246085667E-3</v>
      </c>
    </row>
    <row r="26" spans="1:9" ht="15" x14ac:dyDescent="0.25">
      <c r="A26" s="90" t="str">
        <f>"As the above table shows, "&amp;TEXT(F25,"0,000")&amp;" of UI's customers, or "&amp;TEXT(G25,"0.0%")&amp;" are participating in the combined REC programs."</f>
        <v>As the above table shows, 2,876 of UI's customers, or 0.8% are participating in the combined REC programs.</v>
      </c>
      <c r="G26" s="46"/>
      <c r="H26" s="25"/>
    </row>
    <row r="27" spans="1:9" ht="15" x14ac:dyDescent="0.25">
      <c r="G27" s="46"/>
      <c r="H27" s="25"/>
    </row>
    <row r="28" spans="1:9" ht="13.5" x14ac:dyDescent="0.2">
      <c r="A28" s="57" t="s">
        <v>28</v>
      </c>
    </row>
    <row r="29" spans="1:9" ht="13.5" x14ac:dyDescent="0.2">
      <c r="A29" s="57"/>
    </row>
    <row r="30" spans="1:9" ht="13.5" x14ac:dyDescent="0.2">
      <c r="A30" s="57" t="s">
        <v>49</v>
      </c>
    </row>
    <row r="31" spans="1:9" x14ac:dyDescent="0.2">
      <c r="A31" s="58" t="s">
        <v>47</v>
      </c>
    </row>
    <row r="33" spans="1:1" x14ac:dyDescent="0.2">
      <c r="A33" s="58" t="s">
        <v>14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10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Zeros="0" view="pageLayout" zoomScaleNormal="110" workbookViewId="0">
      <selection activeCell="A41" sqref="A41:XFD1048576"/>
    </sheetView>
  </sheetViews>
  <sheetFormatPr defaultColWidth="9.140625" defaultRowHeight="11.25" x14ac:dyDescent="0.2"/>
  <cols>
    <col min="1" max="1" width="28" style="65" customWidth="1"/>
    <col min="2" max="3" width="19.140625" style="65" customWidth="1"/>
    <col min="4" max="4" width="20.28515625" style="65" customWidth="1"/>
    <col min="5" max="5" width="7.140625" style="65" customWidth="1"/>
    <col min="6" max="6" width="12.5703125" style="65" customWidth="1"/>
    <col min="7" max="7" width="10.42578125" style="65" customWidth="1"/>
    <col min="8" max="16384" width="9.140625" style="65"/>
  </cols>
  <sheetData>
    <row r="1" spans="1:9" s="64" customFormat="1" ht="15" customHeight="1" x14ac:dyDescent="0.2">
      <c r="A1" s="124" t="s">
        <v>30</v>
      </c>
      <c r="B1" s="124"/>
      <c r="C1" s="124"/>
      <c r="D1" s="124"/>
      <c r="E1" s="62"/>
      <c r="F1" s="62"/>
      <c r="G1" s="63"/>
    </row>
    <row r="2" spans="1:9" s="7" customFormat="1" ht="18" customHeight="1" x14ac:dyDescent="0.2">
      <c r="A2" s="124" t="str">
        <f>'Summary Load Customers '!A2</f>
        <v>Data as of March 31, 2022</v>
      </c>
      <c r="B2" s="124"/>
      <c r="C2" s="124"/>
      <c r="D2" s="124"/>
      <c r="E2" s="22"/>
      <c r="F2" s="22"/>
      <c r="G2" s="23"/>
      <c r="H2" s="24"/>
      <c r="I2" s="24"/>
    </row>
    <row r="3" spans="1:9" s="64" customFormat="1" ht="15" customHeight="1" x14ac:dyDescent="0.2">
      <c r="A3" s="65"/>
      <c r="B3" s="65"/>
      <c r="C3" s="66"/>
      <c r="D3" s="66"/>
      <c r="E3" s="62"/>
      <c r="F3" s="62"/>
      <c r="G3" s="63"/>
    </row>
    <row r="4" spans="1:9" s="64" customFormat="1" ht="22.5" x14ac:dyDescent="0.2">
      <c r="A4" s="67" t="s">
        <v>32</v>
      </c>
      <c r="B4" s="68" t="s">
        <v>2</v>
      </c>
      <c r="C4" s="67" t="s">
        <v>3</v>
      </c>
      <c r="D4" s="67" t="s">
        <v>29</v>
      </c>
      <c r="E4" s="62"/>
      <c r="F4" s="62"/>
      <c r="G4" s="63"/>
    </row>
    <row r="5" spans="1:9" s="64" customFormat="1" ht="15" customHeight="1" x14ac:dyDescent="0.2">
      <c r="A5" s="73" t="s">
        <v>31</v>
      </c>
      <c r="B5" s="74"/>
      <c r="C5" s="75"/>
      <c r="D5" s="76">
        <f>IF(C5=0,0,C5)</f>
        <v>0</v>
      </c>
      <c r="E5" s="62"/>
      <c r="F5" s="62"/>
      <c r="G5" s="63"/>
    </row>
    <row r="6" spans="1:9" x14ac:dyDescent="0.2">
      <c r="A6" s="73" t="s">
        <v>11</v>
      </c>
      <c r="B6" s="75">
        <v>97</v>
      </c>
      <c r="C6" s="75">
        <v>2</v>
      </c>
      <c r="D6" s="76">
        <f>SUM(B6:C6)</f>
        <v>99</v>
      </c>
      <c r="E6" s="66"/>
      <c r="F6" s="66"/>
      <c r="G6" s="66"/>
    </row>
    <row r="7" spans="1:9" s="72" customFormat="1" x14ac:dyDescent="0.2">
      <c r="A7" s="73" t="s">
        <v>12</v>
      </c>
      <c r="B7" s="75">
        <v>2177</v>
      </c>
      <c r="C7" s="75">
        <v>26</v>
      </c>
      <c r="D7" s="76">
        <f>SUM(B7:C7)</f>
        <v>2203</v>
      </c>
      <c r="E7" s="69"/>
      <c r="F7" s="69"/>
      <c r="G7" s="70"/>
      <c r="H7" s="71"/>
    </row>
    <row r="8" spans="1:9" x14ac:dyDescent="0.2">
      <c r="A8" s="81" t="s">
        <v>4</v>
      </c>
      <c r="B8" s="82">
        <f>IF(B6+B7=0,0,B6+B7)</f>
        <v>2274</v>
      </c>
      <c r="C8" s="82">
        <f>IF(SUM(C5:C7)=0,0,SUM(C5:C7))</f>
        <v>28</v>
      </c>
      <c r="D8" s="82">
        <f>IF(SUM(D5:D7)=0,0,SUM(D5:D7))</f>
        <v>2302</v>
      </c>
      <c r="E8" s="66"/>
      <c r="F8" s="66"/>
      <c r="G8" s="77"/>
      <c r="H8" s="66"/>
    </row>
    <row r="9" spans="1:9" x14ac:dyDescent="0.2">
      <c r="A9" s="66"/>
      <c r="B9" s="83"/>
      <c r="C9" s="83"/>
      <c r="D9" s="83"/>
      <c r="E9" s="78"/>
      <c r="F9" s="78"/>
      <c r="G9" s="77"/>
      <c r="H9" s="66"/>
    </row>
    <row r="10" spans="1:9" ht="22.5" x14ac:dyDescent="0.2">
      <c r="A10" s="111" t="s">
        <v>35</v>
      </c>
      <c r="B10" s="67" t="s">
        <v>2</v>
      </c>
      <c r="C10" s="67" t="str">
        <f>C4</f>
        <v>Business</v>
      </c>
      <c r="D10" s="67" t="s">
        <v>29</v>
      </c>
      <c r="E10" s="79"/>
      <c r="F10" s="80"/>
      <c r="G10" s="77"/>
      <c r="H10" s="66"/>
    </row>
    <row r="11" spans="1:9" x14ac:dyDescent="0.2">
      <c r="A11" s="73" t="s">
        <v>31</v>
      </c>
      <c r="B11" s="74"/>
      <c r="C11" s="75"/>
      <c r="D11" s="76">
        <f>IF(C11=0,0,C11)</f>
        <v>0</v>
      </c>
      <c r="E11" s="79"/>
      <c r="F11" s="80"/>
      <c r="G11" s="77"/>
      <c r="H11" s="66"/>
    </row>
    <row r="12" spans="1:9" x14ac:dyDescent="0.2">
      <c r="A12" s="73" t="s">
        <v>11</v>
      </c>
      <c r="B12" s="75">
        <v>0</v>
      </c>
      <c r="C12" s="75">
        <v>0</v>
      </c>
      <c r="D12" s="76">
        <f>SUM(B12:C12)</f>
        <v>0</v>
      </c>
      <c r="E12" s="79"/>
      <c r="F12" s="80"/>
      <c r="G12" s="84"/>
      <c r="H12" s="66"/>
    </row>
    <row r="13" spans="1:9" x14ac:dyDescent="0.2">
      <c r="A13" s="73" t="s">
        <v>12</v>
      </c>
      <c r="B13" s="75">
        <v>0</v>
      </c>
      <c r="C13" s="75">
        <v>0</v>
      </c>
      <c r="D13" s="76">
        <f>SUM(B13:C13)</f>
        <v>0</v>
      </c>
      <c r="E13" s="85"/>
      <c r="F13" s="86"/>
      <c r="G13" s="84"/>
      <c r="H13" s="66"/>
    </row>
    <row r="14" spans="1:9" x14ac:dyDescent="0.2">
      <c r="A14" s="81" t="str">
        <f>A8</f>
        <v>Total</v>
      </c>
      <c r="B14" s="82">
        <f>IF(B12+B13=0,0,B12+B13)</f>
        <v>0</v>
      </c>
      <c r="C14" s="82">
        <f>IF(SUM(C11:C13)=0,0,SUM(C11:C13))</f>
        <v>0</v>
      </c>
      <c r="D14" s="82">
        <f>IF(SUM(D11:D13)=0,0,SUM(D11:D13))</f>
        <v>0</v>
      </c>
      <c r="E14" s="66"/>
      <c r="F14" s="66"/>
      <c r="G14" s="84"/>
      <c r="H14" s="66"/>
    </row>
    <row r="15" spans="1:9" x14ac:dyDescent="0.2">
      <c r="A15" s="66"/>
      <c r="B15" s="66"/>
      <c r="C15" s="66"/>
      <c r="D15" s="89"/>
      <c r="E15" s="78"/>
      <c r="F15" s="78"/>
      <c r="G15" s="77"/>
      <c r="H15" s="66"/>
    </row>
    <row r="16" spans="1:9" ht="22.5" x14ac:dyDescent="0.2">
      <c r="A16" s="67" t="s">
        <v>36</v>
      </c>
      <c r="B16" s="67" t="s">
        <v>2</v>
      </c>
      <c r="C16" s="67" t="str">
        <f>C4</f>
        <v>Business</v>
      </c>
      <c r="D16" s="67" t="s">
        <v>29</v>
      </c>
      <c r="E16" s="79"/>
      <c r="F16" s="80"/>
      <c r="G16" s="77"/>
      <c r="H16" s="66"/>
    </row>
    <row r="17" spans="1:8" x14ac:dyDescent="0.2">
      <c r="A17" s="73" t="s">
        <v>31</v>
      </c>
      <c r="B17" s="74"/>
      <c r="C17" s="87">
        <f t="shared" ref="C17:D18" si="0">IF(C5+C11=0,0,C5+C11)</f>
        <v>0</v>
      </c>
      <c r="D17" s="76"/>
      <c r="E17" s="79"/>
      <c r="F17" s="80"/>
      <c r="G17" s="77"/>
      <c r="H17" s="66"/>
    </row>
    <row r="18" spans="1:8" x14ac:dyDescent="0.2">
      <c r="A18" s="73" t="s">
        <v>11</v>
      </c>
      <c r="B18" s="87">
        <f>IF(B6+B12=0,0,B6+B12)</f>
        <v>97</v>
      </c>
      <c r="C18" s="87">
        <f>IF(C6+C12=0,0,C6+C12)</f>
        <v>2</v>
      </c>
      <c r="D18" s="76">
        <f t="shared" si="0"/>
        <v>99</v>
      </c>
      <c r="E18" s="79"/>
      <c r="F18" s="80"/>
      <c r="G18" s="84"/>
      <c r="H18" s="66"/>
    </row>
    <row r="19" spans="1:8" x14ac:dyDescent="0.2">
      <c r="A19" s="73" t="s">
        <v>12</v>
      </c>
      <c r="B19" s="87">
        <f>IF(B7+B13=0,0,B7+B13)</f>
        <v>2177</v>
      </c>
      <c r="C19" s="87">
        <f>IF(C7+C13=0,0,C7+C13)</f>
        <v>26</v>
      </c>
      <c r="D19" s="76">
        <f>IF(D7+D13=0,0,D7+D13)</f>
        <v>2203</v>
      </c>
      <c r="E19" s="85"/>
      <c r="F19" s="86"/>
      <c r="G19" s="84"/>
      <c r="H19" s="66"/>
    </row>
    <row r="20" spans="1:8" x14ac:dyDescent="0.2">
      <c r="A20" s="81" t="str">
        <f>A8</f>
        <v>Total</v>
      </c>
      <c r="B20" s="82">
        <f>IF(B18+B19=0,0,B18+B19)</f>
        <v>2274</v>
      </c>
      <c r="C20" s="82">
        <f>IF(SUM(C17:C19)=0,0,SUM(C17:C19))</f>
        <v>28</v>
      </c>
      <c r="D20" s="82">
        <f>SUM(D17:D19)</f>
        <v>2302</v>
      </c>
      <c r="E20" s="84"/>
      <c r="F20" s="84"/>
      <c r="G20" s="84"/>
      <c r="H20" s="66"/>
    </row>
    <row r="21" spans="1:8" x14ac:dyDescent="0.2">
      <c r="B21" s="66"/>
      <c r="C21" s="66"/>
      <c r="E21" s="77"/>
      <c r="F21" s="84"/>
      <c r="G21" s="84"/>
      <c r="H21" s="66"/>
    </row>
    <row r="22" spans="1:8" ht="22.5" x14ac:dyDescent="0.2">
      <c r="A22" s="111" t="s">
        <v>33</v>
      </c>
      <c r="B22" s="67" t="s">
        <v>2</v>
      </c>
      <c r="C22" s="67" t="s">
        <v>3</v>
      </c>
      <c r="D22" s="67" t="s">
        <v>29</v>
      </c>
      <c r="E22" s="66"/>
      <c r="F22" s="84"/>
      <c r="G22" s="84"/>
      <c r="H22" s="66"/>
    </row>
    <row r="23" spans="1:8" x14ac:dyDescent="0.2">
      <c r="A23" s="73" t="s">
        <v>31</v>
      </c>
      <c r="B23" s="74"/>
      <c r="C23" s="87">
        <f>IF(C11+C17=0,0,C11+C17)</f>
        <v>0</v>
      </c>
      <c r="D23" s="76">
        <f>IF(C23=0,0,C23)</f>
        <v>0</v>
      </c>
      <c r="E23" s="66"/>
      <c r="F23" s="84"/>
      <c r="G23" s="84"/>
      <c r="H23" s="66"/>
    </row>
    <row r="24" spans="1:8" x14ac:dyDescent="0.2">
      <c r="A24" s="73" t="s">
        <v>11</v>
      </c>
      <c r="B24" s="75">
        <v>154</v>
      </c>
      <c r="C24" s="75">
        <v>11</v>
      </c>
      <c r="D24" s="76">
        <f>SUM(B24:C24)</f>
        <v>165</v>
      </c>
      <c r="E24" s="66"/>
      <c r="F24" s="84"/>
      <c r="G24" s="84"/>
      <c r="H24" s="66"/>
    </row>
    <row r="25" spans="1:8" x14ac:dyDescent="0.2">
      <c r="A25" s="73" t="s">
        <v>12</v>
      </c>
      <c r="B25" s="75">
        <v>365</v>
      </c>
      <c r="C25" s="75">
        <v>44</v>
      </c>
      <c r="D25" s="76">
        <f>SUM(B25:C25)</f>
        <v>409</v>
      </c>
    </row>
    <row r="26" spans="1:8" x14ac:dyDescent="0.2">
      <c r="A26" s="81" t="str">
        <f>A20</f>
        <v>Total</v>
      </c>
      <c r="B26" s="96">
        <f>IF(B24+B25=0,0,B24+B25)</f>
        <v>519</v>
      </c>
      <c r="C26" s="82">
        <f>IF(SUM(C23:C25)=0,0,SUM(C23:C25))</f>
        <v>55</v>
      </c>
      <c r="D26" s="82">
        <f>IF(SUM(D23:D25)=0,0,SUM(D23:D25))</f>
        <v>574</v>
      </c>
    </row>
    <row r="28" spans="1:8" x14ac:dyDescent="0.2">
      <c r="A28" s="67" t="s">
        <v>34</v>
      </c>
      <c r="B28" s="67" t="s">
        <v>2</v>
      </c>
      <c r="C28" s="67" t="str">
        <f>C16</f>
        <v>Business</v>
      </c>
      <c r="D28" s="67" t="s">
        <v>29</v>
      </c>
    </row>
    <row r="29" spans="1:8" x14ac:dyDescent="0.2">
      <c r="A29" s="73" t="s">
        <v>31</v>
      </c>
      <c r="B29" s="74">
        <f>B17+B23</f>
        <v>0</v>
      </c>
      <c r="C29" s="87">
        <f t="shared" ref="C29:D31" si="1">C17+C23</f>
        <v>0</v>
      </c>
      <c r="D29" s="76">
        <f t="shared" si="1"/>
        <v>0</v>
      </c>
    </row>
    <row r="30" spans="1:8" x14ac:dyDescent="0.2">
      <c r="A30" s="73" t="s">
        <v>11</v>
      </c>
      <c r="B30" s="87">
        <f>B18+B24</f>
        <v>251</v>
      </c>
      <c r="C30" s="87">
        <f t="shared" si="1"/>
        <v>13</v>
      </c>
      <c r="D30" s="76">
        <f t="shared" si="1"/>
        <v>264</v>
      </c>
    </row>
    <row r="31" spans="1:8" x14ac:dyDescent="0.2">
      <c r="A31" s="73" t="s">
        <v>12</v>
      </c>
      <c r="B31" s="87">
        <f>B19+B25</f>
        <v>2542</v>
      </c>
      <c r="C31" s="87">
        <f t="shared" si="1"/>
        <v>70</v>
      </c>
      <c r="D31" s="76">
        <f t="shared" si="1"/>
        <v>2612</v>
      </c>
    </row>
    <row r="32" spans="1:8" x14ac:dyDescent="0.2">
      <c r="A32" s="81" t="str">
        <f>A26</f>
        <v>Total</v>
      </c>
      <c r="B32" s="82">
        <f>IF(B30+B31=0,0,B30+B31)</f>
        <v>2793</v>
      </c>
      <c r="C32" s="82">
        <f>IF(SUM(C29:C31)=0,0,SUM(C29:C31))</f>
        <v>83</v>
      </c>
      <c r="D32" s="82">
        <f>SUM(D29:D31)</f>
        <v>2876</v>
      </c>
    </row>
    <row r="33" spans="1:7" x14ac:dyDescent="0.2">
      <c r="E33" s="66"/>
      <c r="F33" s="66"/>
      <c r="G33" s="66"/>
    </row>
    <row r="34" spans="1:7" x14ac:dyDescent="0.2">
      <c r="A34" s="88" t="str">
        <f>"In summary, "&amp;TEXT($D$20,"0,000")&amp; " of UI's customers are participating in the CTCleanEnergyOptions Program"</f>
        <v>In summary, 2,302 of UI's customers are participating in the CTCleanEnergyOptions Program</v>
      </c>
    </row>
    <row r="35" spans="1:7" x14ac:dyDescent="0.2">
      <c r="A35" s="88" t="str">
        <f>"In summary, "&amp;TEXT($D$26,"000")&amp; " of UI's customers are participating in RECs only with Sterling Planet"</f>
        <v>In summary, 574 of UI's customers are participating in RECs only with Sterling Planet</v>
      </c>
    </row>
    <row r="36" spans="1:7" x14ac:dyDescent="0.2">
      <c r="A36" s="88" t="str">
        <f>"In summary, "&amp;TEXT($D$32,"0,000")&amp; " of UI's customers are participating in all REC programs"</f>
        <v>In summary, 2,876 of UI's customers are participating in all REC programs</v>
      </c>
    </row>
    <row r="38" spans="1:7" x14ac:dyDescent="0.2">
      <c r="A38" s="89" t="s">
        <v>17</v>
      </c>
    </row>
    <row r="39" spans="1:7" x14ac:dyDescent="0.2">
      <c r="A39" s="66" t="s">
        <v>13</v>
      </c>
    </row>
  </sheetData>
  <mergeCells count="2">
    <mergeCell ref="A1:D1"/>
    <mergeCell ref="A2:D2"/>
  </mergeCells>
  <phoneticPr fontId="10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Load Customers </vt:lpstr>
      <vt:lpstr>Suppliers</vt:lpstr>
      <vt:lpstr>Summary REC Customers</vt:lpstr>
      <vt:lpstr>REC_programs_detail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2022-04-13T13:58:54Z</cp:lastPrinted>
  <dcterms:created xsi:type="dcterms:W3CDTF">2009-03-17T13:14:28Z</dcterms:created>
  <dcterms:modified xsi:type="dcterms:W3CDTF">2022-04-13T13:59:32Z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