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agrfil01.amer.iberdrola.local\VolM1\User\WRK_GRP\File_output_data\PURA_reports_filings\06-10-22_Switch_reports_and_letters\Supplier Counts\2022-04\"/>
    </mc:Choice>
  </mc:AlternateContent>
  <xr:revisionPtr revIDLastSave="0" documentId="13_ncr:1_{9ECA7F7A-CC73-497F-9E7E-59BD3002CD1B}" xr6:coauthVersionLast="45" xr6:coauthVersionMax="45" xr10:uidLastSave="{00000000-0000-0000-0000-000000000000}"/>
  <bookViews>
    <workbookView xWindow="-120" yWindow="-120" windowWidth="20730" windowHeight="1116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8" i="5" l="1"/>
  <c r="B19" i="5"/>
  <c r="F17" i="7" l="1"/>
  <c r="D17" i="7"/>
  <c r="B17" i="7"/>
  <c r="F16" i="7"/>
  <c r="D16" i="7"/>
  <c r="B16" i="7"/>
  <c r="F8" i="7"/>
  <c r="D8" i="7"/>
  <c r="B8" i="7"/>
  <c r="F7" i="7"/>
  <c r="D7" i="7"/>
  <c r="B7" i="7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C19" i="5"/>
  <c r="B29" i="5"/>
  <c r="C8" i="5"/>
  <c r="A2" i="6"/>
  <c r="B30" i="5"/>
  <c r="C18" i="5"/>
  <c r="C30" i="5"/>
  <c r="C31" i="5"/>
  <c r="B31" i="5"/>
  <c r="A2" i="5"/>
  <c r="A3" i="8"/>
  <c r="B26" i="5"/>
  <c r="B18" i="8"/>
  <c r="F18" i="8" s="1"/>
  <c r="F24" i="8"/>
  <c r="F17" i="8"/>
  <c r="F10" i="8"/>
  <c r="D5" i="5"/>
  <c r="D11" i="5"/>
  <c r="C17" i="5"/>
  <c r="C23" i="5"/>
  <c r="D6" i="5"/>
  <c r="D18" i="5" s="1"/>
  <c r="D12" i="5"/>
  <c r="D24" i="5"/>
  <c r="D26" i="5" s="1"/>
  <c r="A35" i="5" s="1"/>
  <c r="D7" i="5"/>
  <c r="D13" i="5"/>
  <c r="D25" i="5"/>
  <c r="B18" i="7"/>
  <c r="D24" i="8"/>
  <c r="D17" i="8"/>
  <c r="D10" i="8"/>
  <c r="A20" i="5"/>
  <c r="A26" i="5"/>
  <c r="A32" i="5"/>
  <c r="C16" i="5"/>
  <c r="C28" i="5"/>
  <c r="C14" i="5"/>
  <c r="B8" i="5"/>
  <c r="B14" i="5"/>
  <c r="A18" i="7"/>
  <c r="A17" i="7"/>
  <c r="D6" i="7"/>
  <c r="F6" i="7"/>
  <c r="H6" i="7"/>
  <c r="D15" i="7"/>
  <c r="F15" i="7"/>
  <c r="H15" i="7"/>
  <c r="A16" i="7"/>
  <c r="A14" i="5"/>
  <c r="C10" i="5"/>
  <c r="C26" i="5"/>
  <c r="D18" i="8"/>
  <c r="D23" i="5"/>
  <c r="C29" i="5"/>
  <c r="D19" i="5"/>
  <c r="D31" i="5" s="1"/>
  <c r="D14" i="5"/>
  <c r="C32" i="5"/>
  <c r="B20" i="5"/>
  <c r="B11" i="8" s="1"/>
  <c r="F11" i="8" s="1"/>
  <c r="D29" i="5"/>
  <c r="C20" i="5"/>
  <c r="D11" i="8"/>
  <c r="D25" i="8"/>
  <c r="H17" i="7"/>
  <c r="F18" i="7"/>
  <c r="G16" i="7" s="1"/>
  <c r="D18" i="7"/>
  <c r="E16" i="7" s="1"/>
  <c r="H16" i="7"/>
  <c r="H8" i="7"/>
  <c r="B9" i="7"/>
  <c r="C7" i="7" s="1"/>
  <c r="H7" i="7"/>
  <c r="D9" i="7"/>
  <c r="E8" i="7" s="1"/>
  <c r="F9" i="7"/>
  <c r="G8" i="7" s="1"/>
  <c r="C8" i="7" l="1"/>
  <c r="D30" i="5"/>
  <c r="D20" i="5"/>
  <c r="A34" i="5" s="1"/>
  <c r="D32" i="5"/>
  <c r="A36" i="5" s="1"/>
  <c r="D8" i="5"/>
  <c r="B32" i="5"/>
  <c r="C11" i="8"/>
  <c r="B25" i="8"/>
  <c r="F25" i="8" s="1"/>
  <c r="F40" i="6"/>
  <c r="G17" i="7"/>
  <c r="E25" i="8"/>
  <c r="E11" i="8"/>
  <c r="E17" i="7"/>
  <c r="E18" i="8"/>
  <c r="H18" i="7"/>
  <c r="C18" i="8"/>
  <c r="C17" i="7"/>
  <c r="C16" i="7"/>
  <c r="E7" i="7"/>
  <c r="G7" i="7"/>
  <c r="H9" i="7"/>
  <c r="I8" i="7" s="1"/>
  <c r="A11" i="7" s="1"/>
  <c r="C25" i="8" l="1"/>
  <c r="G11" i="8"/>
  <c r="A12" i="8" s="1"/>
  <c r="I17" i="7"/>
  <c r="A21" i="7" s="1"/>
  <c r="G25" i="8"/>
  <c r="A26" i="8" s="1"/>
  <c r="I16" i="7"/>
  <c r="A20" i="7" s="1"/>
  <c r="G18" i="8"/>
  <c r="A19" i="8" s="1"/>
  <c r="I7" i="7"/>
  <c r="A10" i="7" s="1"/>
</calcChain>
</file>

<file path=xl/sharedStrings.xml><?xml version="1.0" encoding="utf-8"?>
<sst xmlns="http://schemas.openxmlformats.org/spreadsheetml/2006/main" count="145" uniqueCount="86">
  <si>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</si>
  <si>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</si>
  <si>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</si>
  <si>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</si>
  <si>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</si>
  <si>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</si>
  <si>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</si>
  <si>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</si>
  <si>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</si>
  <si>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</si>
  <si>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</si>
  <si>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</si>
  <si>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</si>
  <si>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</si>
  <si>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</si>
  <si>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</si>
  <si>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</si>
  <si>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</si>
  <si>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</si>
  <si>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</si>
  <si>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</si>
  <si>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</si>
  <si>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</si>
  <si>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</si>
  <si>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</si>
  <si>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</si>
  <si>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</si>
  <si>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</si>
  <si>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</si>
  <si>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</si>
  <si>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</si>
  <si>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</si>
  <si>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</si>
  <si>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</si>
  <si>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</si>
  <si>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</si>
  <si>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</si>
  <si>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</si>
  <si>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</si>
  <si>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</si>
  <si>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</si>
  <si>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</si>
  <si>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</si>
  <si>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</si>
  <si>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</si>
  <si>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</si>
  <si>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</si>
  <si>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</si>
  <si>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</si>
  <si>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</si>
  <si>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Think Energy</t>
  </si>
  <si>
    <t>Direct Energy Business</t>
  </si>
  <si>
    <t>Totals</t>
  </si>
  <si>
    <t>Calpine Energy Solutions, LLC</t>
  </si>
  <si>
    <t>Champion Energy Services</t>
  </si>
  <si>
    <t>Choice Energy, LLC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</si>
  <si>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</si>
  <si>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</si>
  <si>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</si>
  <si>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</si>
  <si>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</si>
  <si>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Eligo Energy CT, LLC</t>
  </si>
  <si>
    <t>Energy Plus Holdings LLC</t>
  </si>
  <si>
    <t>Energy Rewards</t>
  </si>
  <si>
    <t>ENGIE Resources Inc.</t>
  </si>
  <si>
    <t>First Point Power, LLC</t>
  </si>
  <si>
    <t>Major Energy Electric Services, LLC</t>
  </si>
  <si>
    <t>Mega Energy of New England</t>
  </si>
  <si>
    <t>NextEra Energy Services Connecticut, LLC</t>
  </si>
  <si>
    <t>North American Power and Gas</t>
  </si>
  <si>
    <t>NRG Retail Solutions</t>
  </si>
  <si>
    <t>Public Power, LLC</t>
  </si>
  <si>
    <t>Spark Energy, L. P.</t>
  </si>
  <si>
    <t>Starion Energy inc.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</si>
  <si>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</si>
  <si>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</si>
  <si>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</si>
  <si>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</si>
  <si>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</si>
  <si>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</si>
  <si>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Electric Suppliers - Customer Count Data</t>
  </si>
  <si>
    <t>MP2 Energy NE LLC</t>
  </si>
  <si>
    <t>EDF Energy Services, LLC</t>
  </si>
  <si>
    <t>National Gas &amp; Electric</t>
  </si>
  <si>
    <t>Catalyst Power &amp; Gas, LLC</t>
  </si>
  <si>
    <t>Data as of April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</si>
</sst>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[$-409]mmmm\ d\,\ yyyy;@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8" fillId="2" borderId="0" xfId="0" applyFont="1" applyFill="1" applyProtection="1"/>
    <xf numFmtId="14" fontId="10" fillId="0" borderId="0" xfId="0" applyNumberFormat="1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0" fillId="0" borderId="0" xfId="0" applyNumberFormat="1"/>
    <xf numFmtId="0" fontId="0" fillId="0" borderId="11" xfId="0" applyNumberFormat="1" applyBorder="1"/>
    <xf numFmtId="0" fontId="0" fillId="0" borderId="12" xfId="0" applyNumberFormat="1" applyBorder="1"/>
    <xf numFmtId="0" fontId="0" fillId="0" borderId="13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3" fontId="0" fillId="0" borderId="0" xfId="0" applyNumberFormat="1" applyBorder="1" applyAlignment="1">
      <alignment vertical="top"/>
    </xf>
    <xf numFmtId="0" fontId="0" fillId="0" borderId="0" xfId="0" applyNumberFormat="1" applyBorder="1"/>
    <xf numFmtId="164" fontId="9" fillId="0" borderId="0" xfId="2" applyNumberFormat="1" applyFont="1" applyFill="1" applyBorder="1" applyAlignment="1" applyProtection="1">
      <alignment horizontal="center"/>
    </xf>
    <xf numFmtId="0" fontId="1" fillId="2" borderId="2" xfId="0" applyFont="1" applyFill="1" applyBorder="1" applyProtection="1"/>
    <xf numFmtId="0" fontId="11" fillId="3" borderId="2" xfId="0" applyFont="1" applyFill="1" applyBorder="1" applyAlignment="1" applyProtection="1">
      <alignment horizontal="center" vertical="center" wrapText="1"/>
    </xf>
    <xf numFmtId="164" fontId="4" fillId="0" borderId="8" xfId="2" applyNumberFormat="1" applyFont="1" applyFill="1" applyBorder="1" applyAlignment="1" applyProtection="1">
      <alignment horizontal="center"/>
    </xf>
    <xf numFmtId="9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Fill="1" applyBorder="1" applyAlignment="1" applyProtection="1">
      <alignment horizontal="center"/>
    </xf>
    <xf numFmtId="3" fontId="6" fillId="0" borderId="7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 wrapText="1"/>
    </xf>
    <xf numFmtId="0" fontId="2" fillId="2" borderId="0" xfId="0" applyFont="1" applyFill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22_Total/2022_04_%20Month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PURA_reports_filings/06-10-22_Switch_reports_and_letters/Customer_count_files/2022/202204_April_2022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22048.637000000021</v>
          </cell>
        </row>
        <row r="25">
          <cell r="H25">
            <v>71413.400999999896</v>
          </cell>
        </row>
        <row r="26">
          <cell r="H26">
            <v>76582.888000000006</v>
          </cell>
        </row>
        <row r="29">
          <cell r="H29">
            <v>118185.08900000001</v>
          </cell>
        </row>
        <row r="30">
          <cell r="H30">
            <v>53000.643000000004</v>
          </cell>
        </row>
        <row r="31">
          <cell r="H31">
            <v>3924.4270000000001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For Report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B18">
            <v>44825</v>
          </cell>
        </row>
        <row r="19">
          <cell r="B19">
            <v>20709</v>
          </cell>
        </row>
        <row r="20">
          <cell r="B20">
            <v>197</v>
          </cell>
        </row>
        <row r="22">
          <cell r="B22">
            <v>263247</v>
          </cell>
        </row>
        <row r="23">
          <cell r="B23">
            <v>17629</v>
          </cell>
        </row>
        <row r="24">
          <cell r="B24">
            <v>20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showGridLines="0" showZeros="0" tabSelected="1" view="pageLayout" zoomScaleNormal="100" workbookViewId="0">
      <selection activeCell="D16" sqref="D16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14.28515625" style="2" customWidth="1"/>
    <col min="9" max="9" width="11.7109375" style="2" customWidth="1"/>
    <col min="10" max="10" width="9.140625" style="2" customWidth="1"/>
    <col min="11" max="16384" width="9.140625" style="2"/>
  </cols>
  <sheetData>
    <row r="1" spans="1:9" s="7" customFormat="1" ht="18" customHeight="1" x14ac:dyDescent="0.2">
      <c r="A1" s="21" t="s">
        <v>23</v>
      </c>
      <c r="B1" s="22"/>
      <c r="C1" s="22"/>
      <c r="D1" s="22"/>
      <c r="E1" s="22"/>
      <c r="F1" s="22"/>
      <c r="G1" s="23"/>
      <c r="H1" s="24"/>
      <c r="I1" s="24"/>
    </row>
    <row r="2" spans="1:9" s="7" customFormat="1" ht="18" customHeight="1" x14ac:dyDescent="0.2">
      <c r="A2" s="97" t="s">
        <v>85</v>
      </c>
      <c r="B2" s="97"/>
      <c r="C2" s="24"/>
      <c r="D2" s="61"/>
      <c r="E2" s="61"/>
      <c r="F2" s="61"/>
      <c r="G2" s="24"/>
      <c r="H2" s="24"/>
      <c r="I2" s="24"/>
    </row>
    <row r="4" spans="1:9" ht="18" customHeight="1" x14ac:dyDescent="0.2">
      <c r="A4" s="26" t="s">
        <v>26</v>
      </c>
      <c r="B4" s="27"/>
      <c r="C4" s="27"/>
      <c r="D4" s="27"/>
      <c r="E4" s="27"/>
      <c r="F4" s="27"/>
      <c r="G4" s="28"/>
      <c r="H4" s="24"/>
      <c r="I4" s="24"/>
    </row>
    <row r="5" spans="1:9" s="33" customFormat="1" ht="18" customHeight="1" x14ac:dyDescent="0.2">
      <c r="A5" s="2"/>
      <c r="B5" s="29" t="s">
        <v>27</v>
      </c>
      <c r="C5" s="30"/>
      <c r="D5" s="29" t="s">
        <v>5</v>
      </c>
      <c r="E5" s="31"/>
      <c r="F5" s="29" t="s">
        <v>6</v>
      </c>
      <c r="G5" s="32"/>
      <c r="H5" s="29" t="s">
        <v>29</v>
      </c>
      <c r="I5" s="31"/>
    </row>
    <row r="6" spans="1:9" ht="18" customHeight="1" x14ac:dyDescent="0.2">
      <c r="A6" s="34"/>
      <c r="B6" s="35" t="s">
        <v>7</v>
      </c>
      <c r="C6" s="36" t="s">
        <v>16</v>
      </c>
      <c r="D6" s="35" t="str">
        <f>B6</f>
        <v>MWh</v>
      </c>
      <c r="E6" s="36" t="s">
        <v>16</v>
      </c>
      <c r="F6" s="35" t="str">
        <f>D6</f>
        <v>MWh</v>
      </c>
      <c r="G6" s="36" t="s">
        <v>16</v>
      </c>
      <c r="H6" s="35" t="str">
        <f>F6</f>
        <v>MWh</v>
      </c>
      <c r="I6" s="36" t="s">
        <v>15</v>
      </c>
    </row>
    <row r="7" spans="1:9" ht="18" customHeight="1" x14ac:dyDescent="0.2">
      <c r="A7" s="37" t="s">
        <v>8</v>
      </c>
      <c r="B7" s="59">
        <f>[1]Check!$H$24</f>
        <v>22048.637000000021</v>
      </c>
      <c r="C7" s="109">
        <f>IF(B7=0,0,B7/$B$9)</f>
        <v>0.15722777700422805</v>
      </c>
      <c r="D7" s="59">
        <f>[1]Check!$H$25</f>
        <v>71413.400999999896</v>
      </c>
      <c r="E7" s="109">
        <f>IF(D7=0,0,D7/$D$9)</f>
        <v>0.57399790814612495</v>
      </c>
      <c r="F7" s="59">
        <f>[1]Check!$H$26</f>
        <v>76582.888000000006</v>
      </c>
      <c r="G7" s="109">
        <f>IF(F7=0,0,F7/$F$9)</f>
        <v>0.95125378358475876</v>
      </c>
      <c r="H7" s="111">
        <f>IF(B7+D7+F7=0,0,B7+D7+F7)</f>
        <v>170044.92599999992</v>
      </c>
      <c r="I7" s="38">
        <f>IF(H7=0,0,H7/$H$9)</f>
        <v>0.49266238102793686</v>
      </c>
    </row>
    <row r="8" spans="1:9" ht="18" customHeight="1" x14ac:dyDescent="0.2">
      <c r="A8" s="37" t="s">
        <v>9</v>
      </c>
      <c r="B8" s="112">
        <f>[1]Check!$H$29</f>
        <v>118185.08900000001</v>
      </c>
      <c r="C8" s="109">
        <f>IF(B8=0,0,B8/$B$9)</f>
        <v>0.84277222299577192</v>
      </c>
      <c r="D8" s="112">
        <f>[1]Check!$H$30</f>
        <v>53000.643000000004</v>
      </c>
      <c r="E8" s="109">
        <f>IF(D8=0,0,D8/$D$9)</f>
        <v>0.426002091853875</v>
      </c>
      <c r="F8" s="59">
        <f>[1]Check!$H$31</f>
        <v>3924.4270000000001</v>
      </c>
      <c r="G8" s="109">
        <f>IF(F8=0,0,F8/$F$9)</f>
        <v>4.8746216415241274E-2</v>
      </c>
      <c r="H8" s="112">
        <f>IF(B8+D8+F8=0,0,B8+D8+F8)</f>
        <v>175110.15900000001</v>
      </c>
      <c r="I8" s="38">
        <f>IF(H8=0,0,H8/$H$9)</f>
        <v>0.50733761897206309</v>
      </c>
    </row>
    <row r="9" spans="1:9" ht="18" customHeight="1" x14ac:dyDescent="0.2">
      <c r="A9" s="95" t="s">
        <v>4</v>
      </c>
      <c r="B9" s="39">
        <f>SUM(B7:B8)</f>
        <v>140233.72600000002</v>
      </c>
      <c r="C9" s="40"/>
      <c r="D9" s="39">
        <f>SUM(D7:D8)</f>
        <v>124414.04399999991</v>
      </c>
      <c r="E9" s="40"/>
      <c r="F9" s="39">
        <f>SUM(F7:F8)</f>
        <v>80507.315000000002</v>
      </c>
      <c r="G9" s="40"/>
      <c r="H9" s="39">
        <f>IF(H7+H8=0,0,H7+H8)</f>
        <v>345155.08499999996</v>
      </c>
      <c r="I9" s="41"/>
    </row>
    <row r="10" spans="1:9" ht="18" customHeight="1" x14ac:dyDescent="0.2">
      <c r="A10" s="90" t="str">
        <f>"As the above table shows, "&amp;TEXT(H7,"0,000")&amp; " MWh, or "&amp;TEXT(I7,"0.0%")&amp;" of UI's total load is served by electric suppliers"</f>
        <v>As the above table shows, 170,045 MWh, or 49.3% of UI's total load is served by electric suppliers</v>
      </c>
      <c r="H10" s="25"/>
    </row>
    <row r="11" spans="1:9" ht="18" customHeight="1" x14ac:dyDescent="0.25">
      <c r="A11" s="90" t="str">
        <f>"while "&amp;TEXT(H8,"0,000")&amp;" MHh, or "&amp;TEXT(I8,"0.0%")&amp;" of the load is provided under Standard Service or Last Resort service through UI."</f>
        <v>while 175,110 MHh, or 50.7% of the load is provided under Standard Service or Last Resort service through UI.</v>
      </c>
      <c r="B11" s="43"/>
      <c r="C11" s="44"/>
      <c r="D11" s="43"/>
      <c r="E11" s="44"/>
      <c r="F11" s="45"/>
      <c r="G11" s="46"/>
      <c r="H11" s="25"/>
    </row>
    <row r="12" spans="1:9" ht="15" x14ac:dyDescent="0.25">
      <c r="G12" s="46"/>
      <c r="H12" s="25"/>
    </row>
    <row r="13" spans="1:9" ht="18" customHeight="1" x14ac:dyDescent="0.2">
      <c r="A13" s="26" t="s">
        <v>25</v>
      </c>
      <c r="B13" s="27"/>
      <c r="C13" s="27"/>
      <c r="D13" s="27"/>
      <c r="E13" s="27"/>
      <c r="F13" s="27"/>
      <c r="G13" s="47"/>
      <c r="H13" s="23"/>
      <c r="I13" s="24"/>
    </row>
    <row r="14" spans="1:9" ht="18" customHeight="1" x14ac:dyDescent="0.25">
      <c r="A14" s="37"/>
      <c r="B14" s="29" t="s">
        <v>27</v>
      </c>
      <c r="C14" s="48"/>
      <c r="D14" s="29" t="s">
        <v>5</v>
      </c>
      <c r="E14" s="49"/>
      <c r="F14" s="29" t="s">
        <v>6</v>
      </c>
      <c r="G14" s="32"/>
      <c r="H14" s="29" t="s">
        <v>29</v>
      </c>
      <c r="I14" s="31"/>
    </row>
    <row r="15" spans="1:9" ht="18" customHeight="1" x14ac:dyDescent="0.2">
      <c r="A15" s="34"/>
      <c r="B15" s="35" t="s">
        <v>10</v>
      </c>
      <c r="C15" s="36" t="s">
        <v>16</v>
      </c>
      <c r="D15" s="35" t="str">
        <f>B15</f>
        <v>Customers</v>
      </c>
      <c r="E15" s="36" t="s">
        <v>16</v>
      </c>
      <c r="F15" s="35" t="str">
        <f>D15</f>
        <v>Customers</v>
      </c>
      <c r="G15" s="36" t="s">
        <v>16</v>
      </c>
      <c r="H15" s="35" t="str">
        <f>F15</f>
        <v>Customers</v>
      </c>
      <c r="I15" s="36" t="s">
        <v>15</v>
      </c>
    </row>
    <row r="16" spans="1:9" ht="18" customHeight="1" x14ac:dyDescent="0.2">
      <c r="A16" s="37" t="str">
        <f>A7</f>
        <v>Suppliers</v>
      </c>
      <c r="B16" s="59">
        <f>[2]Summary!$B$18</f>
        <v>44825</v>
      </c>
      <c r="C16" s="109">
        <f>IF(B16=0,0,B16/$B$18)</f>
        <v>0.14550170090108805</v>
      </c>
      <c r="D16" s="59">
        <f>[2]Summary!$B$19</f>
        <v>20709</v>
      </c>
      <c r="E16" s="110">
        <f>IF(D16=0,0,D16/$D$18)</f>
        <v>0.54016902290155977</v>
      </c>
      <c r="F16" s="59">
        <f>[2]Summary!$B$20</f>
        <v>197</v>
      </c>
      <c r="G16" s="109">
        <f>IF(F16=0,0,F16/$F$18)</f>
        <v>0.90783410138248843</v>
      </c>
      <c r="H16" s="111">
        <f>IF(B16+D16+F16=0,0,B16+D16+F16)</f>
        <v>65731</v>
      </c>
      <c r="I16" s="38">
        <f>IF(H16=0,0,H16/$H$18)</f>
        <v>0.1896303519345002</v>
      </c>
    </row>
    <row r="17" spans="1:9" ht="18" customHeight="1" x14ac:dyDescent="0.2">
      <c r="A17" s="37" t="str">
        <f>A8</f>
        <v>UI</v>
      </c>
      <c r="B17" s="60">
        <f>[2]Summary!$B$22</f>
        <v>263247</v>
      </c>
      <c r="C17" s="109">
        <f>IF(B17=0,0,B17/$B$18)</f>
        <v>0.85449829909891195</v>
      </c>
      <c r="D17" s="60">
        <f>[2]Summary!$B$23</f>
        <v>17629</v>
      </c>
      <c r="E17" s="110">
        <f>IF(D17=0,0,D17/$D$18)</f>
        <v>0.45983097709844017</v>
      </c>
      <c r="F17" s="60">
        <f>[2]Summary!$B$24</f>
        <v>20</v>
      </c>
      <c r="G17" s="109">
        <f>IF(F17=0,0,F17/$F$18)</f>
        <v>9.2165898617511524E-2</v>
      </c>
      <c r="H17" s="60">
        <f>IF(B17+D17+F17=0,0,B17+D17+F17)</f>
        <v>280896</v>
      </c>
      <c r="I17" s="38">
        <f>IF(H17=0,0,H17/$H$18)</f>
        <v>0.81036964806549983</v>
      </c>
    </row>
    <row r="18" spans="1:9" ht="18" customHeight="1" x14ac:dyDescent="0.2">
      <c r="A18" s="37" t="str">
        <f>A9</f>
        <v>Total</v>
      </c>
      <c r="B18" s="39">
        <f>SUM(B16:B17)</f>
        <v>308072</v>
      </c>
      <c r="C18" s="50"/>
      <c r="D18" s="39">
        <f>SUM(D16:D17)</f>
        <v>38338</v>
      </c>
      <c r="E18" s="40"/>
      <c r="F18" s="39">
        <f>SUM(F16:F17)</f>
        <v>217</v>
      </c>
      <c r="G18" s="40"/>
      <c r="H18" s="39">
        <f>IF(H16+H17=0,0,H16+H17)</f>
        <v>346627</v>
      </c>
      <c r="I18" s="41"/>
    </row>
    <row r="19" spans="1:9" ht="18" customHeight="1" x14ac:dyDescent="0.25">
      <c r="G19" s="46"/>
      <c r="H19" s="25"/>
    </row>
    <row r="20" spans="1:9" ht="18" customHeight="1" x14ac:dyDescent="0.25">
      <c r="A20" s="90" t="str">
        <f>"As the above table shows, "&amp;TEXT(H16,"0,000")&amp; " of UI's total customers, or "&amp;TEXT(I16,"0.0%")&amp;" are served by electric suppliers"</f>
        <v>As the above table shows, 65,731 of UI's total customers, or 19.0% are served by electric suppliers</v>
      </c>
      <c r="G20" s="46"/>
      <c r="H20" s="25"/>
    </row>
    <row r="21" spans="1:9" ht="18" customHeight="1" x14ac:dyDescent="0.25">
      <c r="A21" s="90" t="str">
        <f>"while "&amp;TEXT(H17,"0,000")&amp;" or "&amp;TEXT(I17,"0.0%")&amp;" of the customers continue to receive Standard Service or Last Resort service through UI."</f>
        <v>while 280,896 or 81.0% of the customers continue to receive Standard Service or Last Resort service through UI.</v>
      </c>
      <c r="B21" s="51"/>
      <c r="C21" s="51"/>
      <c r="D21" s="51"/>
      <c r="E21" s="51"/>
      <c r="F21" s="52"/>
      <c r="G21" s="53"/>
      <c r="H21" s="25"/>
    </row>
    <row r="22" spans="1:9" ht="18" customHeight="1" x14ac:dyDescent="0.25">
      <c r="B22" s="25"/>
      <c r="C22" s="25"/>
      <c r="D22" s="53"/>
      <c r="E22" s="53"/>
      <c r="F22" s="54"/>
      <c r="G22" s="54"/>
      <c r="H22" s="25"/>
    </row>
    <row r="24" spans="1:9" ht="13.5" x14ac:dyDescent="0.2">
      <c r="A24" s="57" t="s">
        <v>24</v>
      </c>
      <c r="I24" s="91"/>
    </row>
    <row r="25" spans="1:9" ht="13.5" x14ac:dyDescent="0.2">
      <c r="A25" s="57" t="s">
        <v>28</v>
      </c>
    </row>
    <row r="26" spans="1:9" ht="13.5" x14ac:dyDescent="0.2">
      <c r="A26" s="57" t="s">
        <v>45</v>
      </c>
    </row>
    <row r="27" spans="1:9" x14ac:dyDescent="0.2">
      <c r="A27" s="58" t="s">
        <v>14</v>
      </c>
    </row>
    <row r="28" spans="1:9" x14ac:dyDescent="0.2">
      <c r="A28" s="58" t="s">
        <v>20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showGridLines="0" showZeros="0" view="pageLayout" topLeftCell="A25" zoomScaleNormal="100" workbookViewId="0">
      <selection activeCell="G33" sqref="G33"/>
    </sheetView>
  </sheetViews>
  <sheetFormatPr defaultColWidth="9.140625" defaultRowHeight="12.75" x14ac:dyDescent="0.2"/>
  <cols>
    <col min="1" max="1" width="4.42578125" style="1" customWidth="1"/>
    <col min="2" max="2" width="37.42578125" style="1" bestFit="1" customWidth="1"/>
    <col min="3" max="3" width="11.28515625" style="1" bestFit="1" customWidth="1"/>
    <col min="4" max="4" width="9.140625" style="1" bestFit="1" customWidth="1"/>
    <col min="5" max="5" width="8" style="1" customWidth="1"/>
    <col min="6" max="6" width="13.140625" style="1" bestFit="1" customWidth="1"/>
    <col min="7" max="16384" width="9.140625" style="2"/>
  </cols>
  <sheetData>
    <row r="1" spans="1:6" s="7" customFormat="1" ht="18" customHeight="1" x14ac:dyDescent="0.2">
      <c r="A1" s="11" t="s">
        <v>80</v>
      </c>
      <c r="B1" s="12"/>
      <c r="C1" s="12"/>
      <c r="D1" s="12"/>
      <c r="E1" s="12"/>
      <c r="F1" s="6"/>
    </row>
    <row r="2" spans="1:6" s="7" customFormat="1" ht="18" customHeight="1" x14ac:dyDescent="0.2">
      <c r="A2" s="8" t="str">
        <f>'Summary Load Customers '!A2</f>
        <v>Data as of April 30, 2022</v>
      </c>
      <c r="B2" s="12"/>
      <c r="C2" s="12"/>
      <c r="D2" s="12"/>
      <c r="E2" s="12"/>
      <c r="F2" s="13"/>
    </row>
    <row r="3" spans="1:6" s="7" customFormat="1" ht="18" customHeight="1" x14ac:dyDescent="0.2">
      <c r="A3" s="14"/>
      <c r="B3" s="5"/>
      <c r="C3" s="15"/>
      <c r="D3" s="15"/>
      <c r="E3" s="9"/>
      <c r="F3" s="9"/>
    </row>
    <row r="4" spans="1:6" x14ac:dyDescent="0.2">
      <c r="A4" s="16"/>
      <c r="B4" s="17"/>
      <c r="C4" s="3" t="s">
        <v>0</v>
      </c>
      <c r="D4" s="10"/>
      <c r="E4" s="10"/>
      <c r="F4" s="18"/>
    </row>
    <row r="5" spans="1:6" s="7" customFormat="1" ht="25.5" x14ac:dyDescent="0.2">
      <c r="A5" s="19"/>
      <c r="B5" s="4" t="s">
        <v>1</v>
      </c>
      <c r="C5" s="4" t="s">
        <v>2</v>
      </c>
      <c r="D5" s="4" t="s">
        <v>3</v>
      </c>
      <c r="E5" s="4" t="s">
        <v>4</v>
      </c>
      <c r="F5" s="4" t="s">
        <v>21</v>
      </c>
    </row>
    <row r="6" spans="1:6" x14ac:dyDescent="0.2">
      <c r="A6" s="93">
        <v>1</v>
      </c>
      <c r="B6" t="s">
        <v>46</v>
      </c>
      <c r="C6" s="99">
        <v>4031</v>
      </c>
      <c r="D6" s="100">
        <v>551</v>
      </c>
      <c r="E6" s="101">
        <v>4582</v>
      </c>
      <c r="F6" s="20">
        <f t="shared" ref="F6:F38" si="0">IF(E6=0,"",E6/$E$40)</f>
        <v>7.3367172113429302E-2</v>
      </c>
    </row>
    <row r="7" spans="1:6" ht="14.25" customHeight="1" x14ac:dyDescent="0.2">
      <c r="A7" s="93">
        <v>2</v>
      </c>
      <c r="B7" t="s">
        <v>53</v>
      </c>
      <c r="C7" s="102">
        <v>110</v>
      </c>
      <c r="D7" s="98">
        <v>2645</v>
      </c>
      <c r="E7" s="103">
        <v>2755</v>
      </c>
      <c r="F7" s="20">
        <f t="shared" si="0"/>
        <v>4.4113173106175844E-2</v>
      </c>
    </row>
    <row r="8" spans="1:6" ht="14.25" customHeight="1" x14ac:dyDescent="0.2">
      <c r="A8" s="93">
        <v>3</v>
      </c>
      <c r="B8" t="s">
        <v>54</v>
      </c>
      <c r="C8" s="102">
        <v>4</v>
      </c>
      <c r="D8" s="98">
        <v>163</v>
      </c>
      <c r="E8" s="103">
        <v>167</v>
      </c>
      <c r="F8" s="20">
        <f t="shared" si="0"/>
        <v>2.6740108561638352E-3</v>
      </c>
    </row>
    <row r="9" spans="1:6" ht="14.25" customHeight="1" x14ac:dyDescent="0.2">
      <c r="A9" s="93">
        <v>4</v>
      </c>
      <c r="B9" t="s">
        <v>55</v>
      </c>
      <c r="C9" s="102">
        <v>305</v>
      </c>
      <c r="D9" s="98">
        <v>7</v>
      </c>
      <c r="E9" s="103">
        <v>312</v>
      </c>
      <c r="F9" s="20">
        <f t="shared" si="0"/>
        <v>4.9957568091204586E-3</v>
      </c>
    </row>
    <row r="10" spans="1:6" ht="14.25" customHeight="1" x14ac:dyDescent="0.2">
      <c r="A10" s="93">
        <v>5</v>
      </c>
      <c r="B10" t="s">
        <v>56</v>
      </c>
      <c r="C10" s="102">
        <v>266</v>
      </c>
      <c r="D10" s="98">
        <v>53</v>
      </c>
      <c r="E10" s="103">
        <v>319</v>
      </c>
      <c r="F10" s="20">
        <f t="shared" si="0"/>
        <v>5.1078410965045718E-3</v>
      </c>
    </row>
    <row r="11" spans="1:6" ht="14.25" customHeight="1" x14ac:dyDescent="0.2">
      <c r="A11" s="93">
        <v>6</v>
      </c>
      <c r="B11" t="s">
        <v>57</v>
      </c>
      <c r="C11" s="102">
        <v>871</v>
      </c>
      <c r="D11" s="98">
        <v>4930</v>
      </c>
      <c r="E11" s="103">
        <v>5801</v>
      </c>
      <c r="F11" s="20">
        <f t="shared" si="0"/>
        <v>9.2885850159319813E-2</v>
      </c>
    </row>
    <row r="12" spans="1:6" ht="14.25" customHeight="1" x14ac:dyDescent="0.2">
      <c r="A12" s="93">
        <v>7</v>
      </c>
      <c r="B12" t="s">
        <v>58</v>
      </c>
      <c r="C12" s="102">
        <v>13933</v>
      </c>
      <c r="D12" s="98">
        <v>1259</v>
      </c>
      <c r="E12" s="103">
        <v>15192</v>
      </c>
      <c r="F12" s="20">
        <f t="shared" si="0"/>
        <v>0.24325492770563464</v>
      </c>
    </row>
    <row r="13" spans="1:6" ht="14.25" customHeight="1" x14ac:dyDescent="0.2">
      <c r="A13" s="93">
        <v>8</v>
      </c>
      <c r="B13" t="s">
        <v>51</v>
      </c>
      <c r="C13" s="102">
        <v>225</v>
      </c>
      <c r="D13" s="98">
        <v>2071</v>
      </c>
      <c r="E13" s="103">
        <v>2296</v>
      </c>
      <c r="F13" s="20">
        <f t="shared" si="0"/>
        <v>3.6763646261989018E-2</v>
      </c>
    </row>
    <row r="14" spans="1:6" ht="14.25" customHeight="1" x14ac:dyDescent="0.2">
      <c r="A14" s="93">
        <v>9</v>
      </c>
      <c r="B14" t="s">
        <v>59</v>
      </c>
      <c r="C14" s="102">
        <v>4529</v>
      </c>
      <c r="D14" s="98">
        <v>1174</v>
      </c>
      <c r="E14" s="103">
        <v>5703</v>
      </c>
      <c r="F14" s="20">
        <f t="shared" si="0"/>
        <v>9.1316670135942232E-2</v>
      </c>
    </row>
    <row r="15" spans="1:6" ht="14.25" customHeight="1" x14ac:dyDescent="0.2">
      <c r="A15" s="93">
        <v>10</v>
      </c>
      <c r="B15" t="s">
        <v>60</v>
      </c>
      <c r="C15" s="102">
        <v>943</v>
      </c>
      <c r="D15" s="98">
        <v>265</v>
      </c>
      <c r="E15" s="103">
        <v>1208</v>
      </c>
      <c r="F15" s="20">
        <f t="shared" si="0"/>
        <v>1.9342545594286904E-2</v>
      </c>
    </row>
    <row r="16" spans="1:6" ht="14.25" customHeight="1" x14ac:dyDescent="0.2">
      <c r="A16" s="93">
        <v>11</v>
      </c>
      <c r="B16" t="s">
        <v>82</v>
      </c>
      <c r="C16" s="102">
        <v>558</v>
      </c>
      <c r="D16" s="98">
        <v>345</v>
      </c>
      <c r="E16" s="103">
        <v>903</v>
      </c>
      <c r="F16" s="20">
        <f t="shared" si="0"/>
        <v>1.4458873072550558E-2</v>
      </c>
    </row>
    <row r="17" spans="1:6" ht="14.25" customHeight="1" x14ac:dyDescent="0.2">
      <c r="A17" s="93">
        <v>12</v>
      </c>
      <c r="B17" t="s">
        <v>61</v>
      </c>
      <c r="C17" s="102">
        <v>13</v>
      </c>
      <c r="D17" s="98">
        <v>125</v>
      </c>
      <c r="E17" s="103">
        <v>138</v>
      </c>
      <c r="F17" s="20">
        <f t="shared" si="0"/>
        <v>2.2096616655725107E-3</v>
      </c>
    </row>
    <row r="18" spans="1:6" ht="14.25" customHeight="1" x14ac:dyDescent="0.2">
      <c r="A18" s="93">
        <v>13</v>
      </c>
      <c r="B18" t="s">
        <v>62</v>
      </c>
      <c r="C18" s="102">
        <v>277</v>
      </c>
      <c r="D18" s="98">
        <v>68</v>
      </c>
      <c r="E18" s="103">
        <v>345</v>
      </c>
      <c r="F18" s="20">
        <f t="shared" si="0"/>
        <v>5.5241541639312764E-3</v>
      </c>
    </row>
    <row r="19" spans="1:6" ht="14.25" customHeight="1" x14ac:dyDescent="0.2">
      <c r="A19" s="93">
        <v>14</v>
      </c>
      <c r="B19" t="s">
        <v>63</v>
      </c>
      <c r="C19" s="102">
        <v>56</v>
      </c>
      <c r="D19" s="98"/>
      <c r="E19" s="103">
        <v>56</v>
      </c>
      <c r="F19" s="20">
        <f t="shared" si="0"/>
        <v>8.9667429907290281E-4</v>
      </c>
    </row>
    <row r="20" spans="1:6" ht="14.25" customHeight="1" x14ac:dyDescent="0.2">
      <c r="A20" s="93">
        <v>15</v>
      </c>
      <c r="B20" t="s">
        <v>64</v>
      </c>
      <c r="C20" s="102">
        <v>688</v>
      </c>
      <c r="D20" s="98">
        <v>1136</v>
      </c>
      <c r="E20" s="103">
        <v>1824</v>
      </c>
      <c r="F20" s="20">
        <f t="shared" si="0"/>
        <v>2.9205962884088835E-2</v>
      </c>
    </row>
    <row r="21" spans="1:6" ht="14.25" customHeight="1" x14ac:dyDescent="0.2">
      <c r="A21" s="93">
        <v>16</v>
      </c>
      <c r="B21" t="s">
        <v>65</v>
      </c>
      <c r="C21" s="102">
        <v>186</v>
      </c>
      <c r="D21" s="98">
        <v>183</v>
      </c>
      <c r="E21" s="103">
        <v>369</v>
      </c>
      <c r="F21" s="20">
        <f t="shared" si="0"/>
        <v>5.9084431492482346E-3</v>
      </c>
    </row>
    <row r="22" spans="1:6" ht="14.25" customHeight="1" x14ac:dyDescent="0.2">
      <c r="A22" s="93">
        <v>17</v>
      </c>
      <c r="B22" t="s">
        <v>66</v>
      </c>
      <c r="C22" s="102">
        <v>1940</v>
      </c>
      <c r="D22" s="98">
        <v>158</v>
      </c>
      <c r="E22" s="103">
        <v>2098</v>
      </c>
      <c r="F22" s="20">
        <f t="shared" si="0"/>
        <v>3.3593262133124108E-2</v>
      </c>
    </row>
    <row r="23" spans="1:6" ht="14.25" customHeight="1" x14ac:dyDescent="0.2">
      <c r="A23" s="93">
        <v>18</v>
      </c>
      <c r="B23" t="s">
        <v>67</v>
      </c>
      <c r="C23" s="102">
        <v>2</v>
      </c>
      <c r="D23" s="98">
        <v>167</v>
      </c>
      <c r="E23" s="103">
        <v>169</v>
      </c>
      <c r="F23" s="20">
        <f t="shared" si="0"/>
        <v>2.7060349382735816E-3</v>
      </c>
    </row>
    <row r="24" spans="1:6" ht="14.25" customHeight="1" x14ac:dyDescent="0.2">
      <c r="A24" s="93">
        <v>19</v>
      </c>
      <c r="B24" t="s">
        <v>83</v>
      </c>
      <c r="C24" s="102">
        <v>14</v>
      </c>
      <c r="D24" s="98"/>
      <c r="E24" s="103">
        <v>14</v>
      </c>
      <c r="F24" s="20">
        <f t="shared" si="0"/>
        <v>2.241685747682257E-4</v>
      </c>
    </row>
    <row r="25" spans="1:6" ht="14.25" customHeight="1" x14ac:dyDescent="0.2">
      <c r="A25" s="93">
        <v>20</v>
      </c>
      <c r="B25" t="s">
        <v>68</v>
      </c>
      <c r="C25" s="102">
        <v>48</v>
      </c>
      <c r="D25" s="98">
        <v>697</v>
      </c>
      <c r="E25" s="103">
        <v>745</v>
      </c>
      <c r="F25" s="20">
        <f t="shared" si="0"/>
        <v>1.1928970585880582E-2</v>
      </c>
    </row>
    <row r="26" spans="1:6" ht="14.25" customHeight="1" x14ac:dyDescent="0.2">
      <c r="A26" s="93">
        <v>21</v>
      </c>
      <c r="B26" t="s">
        <v>69</v>
      </c>
      <c r="C26" s="102">
        <v>3015</v>
      </c>
      <c r="D26" s="98">
        <v>123</v>
      </c>
      <c r="E26" s="103">
        <v>3138</v>
      </c>
      <c r="F26" s="20">
        <f t="shared" si="0"/>
        <v>5.0245784830192305E-2</v>
      </c>
    </row>
    <row r="27" spans="1:6" ht="14.25" customHeight="1" x14ac:dyDescent="0.2">
      <c r="A27" s="93">
        <v>22</v>
      </c>
      <c r="B27" t="s">
        <v>70</v>
      </c>
      <c r="C27" s="102">
        <v>637</v>
      </c>
      <c r="D27" s="98">
        <v>94</v>
      </c>
      <c r="E27" s="103">
        <v>731</v>
      </c>
      <c r="F27" s="20">
        <f t="shared" si="0"/>
        <v>1.1704802011112356E-2</v>
      </c>
    </row>
    <row r="28" spans="1:6" ht="14.25" customHeight="1" x14ac:dyDescent="0.2">
      <c r="A28" s="93">
        <v>23</v>
      </c>
      <c r="B28" t="s">
        <v>71</v>
      </c>
      <c r="C28" s="102">
        <v>2251</v>
      </c>
      <c r="D28" s="98">
        <v>420</v>
      </c>
      <c r="E28" s="103">
        <v>2671</v>
      </c>
      <c r="F28" s="20">
        <f t="shared" si="0"/>
        <v>4.2768161657566493E-2</v>
      </c>
    </row>
    <row r="29" spans="1:6" ht="14.25" customHeight="1" x14ac:dyDescent="0.2">
      <c r="A29" s="93">
        <v>24</v>
      </c>
      <c r="B29" t="s">
        <v>72</v>
      </c>
      <c r="C29" s="102">
        <v>49</v>
      </c>
      <c r="D29" s="98">
        <v>43</v>
      </c>
      <c r="E29" s="103">
        <v>92</v>
      </c>
      <c r="F29" s="20">
        <f t="shared" si="0"/>
        <v>1.4731077770483404E-3</v>
      </c>
    </row>
    <row r="30" spans="1:6" ht="14.25" customHeight="1" x14ac:dyDescent="0.2">
      <c r="A30" s="93">
        <v>25</v>
      </c>
      <c r="B30" t="s">
        <v>73</v>
      </c>
      <c r="C30" s="102"/>
      <c r="D30" s="98">
        <v>3</v>
      </c>
      <c r="E30" s="103">
        <v>3</v>
      </c>
      <c r="F30" s="20">
        <f t="shared" si="0"/>
        <v>4.8036123164619791E-5</v>
      </c>
    </row>
    <row r="31" spans="1:6" ht="14.25" customHeight="1" x14ac:dyDescent="0.2">
      <c r="A31" s="93">
        <v>26</v>
      </c>
      <c r="B31" t="s">
        <v>74</v>
      </c>
      <c r="C31" s="102"/>
      <c r="D31" s="98">
        <v>11</v>
      </c>
      <c r="E31" s="103">
        <v>11</v>
      </c>
      <c r="F31" s="20">
        <f t="shared" si="0"/>
        <v>1.7613245160360592E-4</v>
      </c>
    </row>
    <row r="32" spans="1:6" ht="14.25" customHeight="1" x14ac:dyDescent="0.2">
      <c r="A32" s="93">
        <v>27</v>
      </c>
      <c r="B32" t="s">
        <v>50</v>
      </c>
      <c r="C32" s="102">
        <v>56</v>
      </c>
      <c r="D32" s="98">
        <v>57</v>
      </c>
      <c r="E32" s="103">
        <v>113</v>
      </c>
      <c r="F32" s="20">
        <f t="shared" si="0"/>
        <v>1.8093606392006788E-3</v>
      </c>
    </row>
    <row r="33" spans="1:6" ht="14.25" customHeight="1" x14ac:dyDescent="0.2">
      <c r="A33" s="93">
        <v>28</v>
      </c>
      <c r="B33" t="s">
        <v>75</v>
      </c>
      <c r="C33" s="102">
        <v>5375</v>
      </c>
      <c r="D33" s="98">
        <v>162</v>
      </c>
      <c r="E33" s="103">
        <v>5537</v>
      </c>
      <c r="F33" s="20">
        <f t="shared" si="0"/>
        <v>8.8658671320833271E-2</v>
      </c>
    </row>
    <row r="34" spans="1:6" ht="14.25" customHeight="1" x14ac:dyDescent="0.2">
      <c r="A34" s="93">
        <v>29</v>
      </c>
      <c r="B34" t="s">
        <v>76</v>
      </c>
      <c r="C34" s="102">
        <v>2630</v>
      </c>
      <c r="D34" s="98">
        <v>187</v>
      </c>
      <c r="E34" s="103">
        <v>2817</v>
      </c>
      <c r="F34" s="20">
        <f t="shared" si="0"/>
        <v>4.5105919651577987E-2</v>
      </c>
    </row>
    <row r="35" spans="1:6" ht="14.25" customHeight="1" x14ac:dyDescent="0.2">
      <c r="A35" s="93">
        <v>30</v>
      </c>
      <c r="B35" t="s">
        <v>77</v>
      </c>
      <c r="C35" s="102">
        <v>244</v>
      </c>
      <c r="D35" s="98">
        <v>54</v>
      </c>
      <c r="E35" s="103">
        <v>298</v>
      </c>
      <c r="F35" s="20">
        <f t="shared" si="0"/>
        <v>4.7715882343522332E-3</v>
      </c>
    </row>
    <row r="36" spans="1:6" ht="14.25" customHeight="1" x14ac:dyDescent="0.2">
      <c r="A36" s="93">
        <v>31</v>
      </c>
      <c r="B36" t="s">
        <v>79</v>
      </c>
      <c r="C36" s="102">
        <v>27</v>
      </c>
      <c r="D36" s="98">
        <v>16</v>
      </c>
      <c r="E36" s="103">
        <v>43</v>
      </c>
      <c r="F36" s="20">
        <f t="shared" si="0"/>
        <v>6.885177653595504E-4</v>
      </c>
    </row>
    <row r="37" spans="1:6" ht="14.25" customHeight="1" x14ac:dyDescent="0.2">
      <c r="A37" s="93">
        <v>32</v>
      </c>
      <c r="B37" t="s">
        <v>78</v>
      </c>
      <c r="C37" s="102">
        <v>1540</v>
      </c>
      <c r="D37" s="98">
        <v>302</v>
      </c>
      <c r="E37" s="103">
        <v>1842</v>
      </c>
      <c r="F37" s="20">
        <f t="shared" si="0"/>
        <v>2.9494179623076554E-2</v>
      </c>
    </row>
    <row r="38" spans="1:6" ht="14.25" customHeight="1" x14ac:dyDescent="0.2">
      <c r="A38" s="93">
        <v>33</v>
      </c>
      <c r="B38" t="s">
        <v>81</v>
      </c>
      <c r="C38" s="102">
        <v>2</v>
      </c>
      <c r="D38" s="98">
        <v>142</v>
      </c>
      <c r="E38" s="103">
        <v>144</v>
      </c>
      <c r="F38" s="20">
        <f t="shared" si="0"/>
        <v>2.3057339119017502E-3</v>
      </c>
    </row>
    <row r="39" spans="1:6" ht="14.25" customHeight="1" x14ac:dyDescent="0.2">
      <c r="A39" s="93">
        <v>34</v>
      </c>
      <c r="B39" t="s">
        <v>84</v>
      </c>
      <c r="C39" s="102"/>
      <c r="D39" s="98">
        <v>17</v>
      </c>
      <c r="E39" s="103">
        <v>17</v>
      </c>
      <c r="F39" s="20"/>
    </row>
    <row r="40" spans="1:6" ht="14.25" customHeight="1" x14ac:dyDescent="0.2">
      <c r="A40" s="93"/>
      <c r="B40" s="107" t="s">
        <v>52</v>
      </c>
      <c r="C40" s="107">
        <v>44825</v>
      </c>
      <c r="D40" s="107">
        <v>17628</v>
      </c>
      <c r="E40" s="107">
        <v>62453</v>
      </c>
      <c r="F40" s="20">
        <f>SUM(F6:F38)</f>
        <v>0.99972779530206701</v>
      </c>
    </row>
    <row r="41" spans="1:6" x14ac:dyDescent="0.2">
      <c r="A41" s="94"/>
      <c r="B41" s="104"/>
      <c r="C41" s="105"/>
      <c r="D41" s="105"/>
      <c r="E41" s="105"/>
      <c r="F41" s="106"/>
    </row>
    <row r="42" spans="1:6" x14ac:dyDescent="0.2">
      <c r="A42" s="1" t="s">
        <v>19</v>
      </c>
      <c r="B42" s="92"/>
    </row>
    <row r="43" spans="1:6" x14ac:dyDescent="0.2">
      <c r="A43" s="1" t="s">
        <v>18</v>
      </c>
    </row>
    <row r="44" spans="1:6" x14ac:dyDescent="0.2">
      <c r="A44" s="1" t="s">
        <v>14</v>
      </c>
    </row>
  </sheetData>
  <sortState xmlns:xlrd2="http://schemas.microsoft.com/office/spreadsheetml/2017/richdata2" ref="B6:E38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3"/>
  <sheetViews>
    <sheetView view="pageLayout" zoomScaleNormal="100" workbookViewId="0">
      <selection activeCell="A7" sqref="A7:XFD7"/>
    </sheetView>
  </sheetViews>
  <sheetFormatPr defaultColWidth="9.140625" defaultRowHeight="12.75" x14ac:dyDescent="0.2"/>
  <cols>
    <col min="1" max="1" width="18.140625" style="2" customWidth="1"/>
    <col min="2" max="2" width="14.28515625" style="2" customWidth="1"/>
    <col min="3" max="3" width="11.7109375" style="2" customWidth="1"/>
    <col min="4" max="4" width="14.28515625" style="2" customWidth="1"/>
    <col min="5" max="5" width="11.7109375" style="2" customWidth="1"/>
    <col min="6" max="6" width="14.28515625" style="2" customWidth="1"/>
    <col min="7" max="7" width="11.7109375" style="2" customWidth="1"/>
    <col min="8" max="8" width="7.7109375" style="2" customWidth="1"/>
    <col min="9" max="9" width="11.7109375" style="2" customWidth="1"/>
    <col min="10" max="16384" width="9.140625" style="2"/>
  </cols>
  <sheetData>
    <row r="1" spans="1:9" s="7" customFormat="1" ht="15.75" x14ac:dyDescent="0.2">
      <c r="A1" s="119" t="s">
        <v>44</v>
      </c>
      <c r="B1" s="119"/>
      <c r="C1" s="119"/>
      <c r="D1" s="119"/>
      <c r="E1" s="119"/>
      <c r="F1" s="119"/>
      <c r="G1" s="119"/>
      <c r="H1" s="24"/>
      <c r="I1" s="24"/>
    </row>
    <row r="2" spans="1:9" s="7" customFormat="1" ht="15.75" x14ac:dyDescent="0.2">
      <c r="A2" s="119" t="s">
        <v>43</v>
      </c>
      <c r="B2" s="119"/>
      <c r="C2" s="119"/>
      <c r="D2" s="119"/>
      <c r="E2" s="119"/>
      <c r="F2" s="119"/>
      <c r="G2" s="119"/>
      <c r="H2" s="24"/>
      <c r="I2" s="24"/>
    </row>
    <row r="3" spans="1:9" s="7" customFormat="1" x14ac:dyDescent="0.2">
      <c r="A3" s="120" t="str">
        <f>'Summary Load Customers '!A2</f>
        <v>Data as of April 30, 2022</v>
      </c>
      <c r="B3" s="120"/>
      <c r="C3" s="120"/>
      <c r="D3" s="120"/>
      <c r="E3" s="120"/>
      <c r="F3" s="120"/>
      <c r="G3" s="120"/>
      <c r="H3" s="24"/>
      <c r="I3" s="24"/>
    </row>
    <row r="4" spans="1:9" s="7" customFormat="1" x14ac:dyDescent="0.2">
      <c r="A4" s="2"/>
      <c r="B4" s="24"/>
      <c r="C4" s="24"/>
      <c r="D4" s="61"/>
      <c r="E4" s="61"/>
      <c r="F4" s="61"/>
      <c r="G4" s="24"/>
      <c r="H4" s="24"/>
      <c r="I4" s="24"/>
    </row>
    <row r="5" spans="1:9" s="7" customFormat="1" ht="15.75" x14ac:dyDescent="0.25">
      <c r="A5" s="117" t="s">
        <v>37</v>
      </c>
      <c r="B5" s="117"/>
      <c r="C5" s="117"/>
      <c r="D5" s="117"/>
      <c r="E5" s="117"/>
      <c r="F5" s="117"/>
      <c r="G5" s="117"/>
      <c r="H5" s="25"/>
      <c r="I5" s="24"/>
    </row>
    <row r="6" spans="1:9" s="7" customFormat="1" ht="15" x14ac:dyDescent="0.25">
      <c r="A6" s="115"/>
      <c r="B6" s="114"/>
      <c r="C6" s="114"/>
      <c r="D6" s="53"/>
      <c r="E6" s="53"/>
      <c r="F6" s="54"/>
      <c r="G6" s="54"/>
      <c r="H6" s="55"/>
      <c r="I6" s="24"/>
    </row>
    <row r="7" spans="1:9" ht="24" customHeight="1" x14ac:dyDescent="0.2">
      <c r="A7" s="118" t="s">
        <v>48</v>
      </c>
      <c r="B7" s="118"/>
      <c r="C7" s="118"/>
      <c r="D7" s="118"/>
      <c r="E7" s="118"/>
      <c r="F7" s="118"/>
      <c r="G7" s="118"/>
      <c r="H7" s="25"/>
    </row>
    <row r="8" spans="1:9" ht="15" x14ac:dyDescent="0.2">
      <c r="A8" s="37"/>
      <c r="B8" s="27"/>
      <c r="C8" s="27"/>
      <c r="D8" s="27"/>
      <c r="E8" s="27"/>
      <c r="F8" s="27"/>
      <c r="G8" s="47"/>
      <c r="H8" s="23"/>
      <c r="I8" s="56"/>
    </row>
    <row r="9" spans="1:9" ht="15" x14ac:dyDescent="0.25">
      <c r="A9" s="34"/>
      <c r="B9" s="29" t="s">
        <v>2</v>
      </c>
      <c r="C9" s="48"/>
      <c r="D9" s="29" t="s">
        <v>22</v>
      </c>
      <c r="E9" s="49"/>
      <c r="F9" s="29" t="s">
        <v>29</v>
      </c>
      <c r="G9" s="31"/>
    </row>
    <row r="10" spans="1:9" ht="15" x14ac:dyDescent="0.2">
      <c r="A10" s="37" t="s">
        <v>39</v>
      </c>
      <c r="B10" s="35" t="s">
        <v>10</v>
      </c>
      <c r="C10" s="36" t="s">
        <v>16</v>
      </c>
      <c r="D10" s="35" t="str">
        <f>B10</f>
        <v>Customers</v>
      </c>
      <c r="E10" s="36" t="s">
        <v>16</v>
      </c>
      <c r="F10" s="35" t="str">
        <f>B10</f>
        <v>Customers</v>
      </c>
      <c r="G10" s="36" t="s">
        <v>15</v>
      </c>
      <c r="I10" s="24"/>
    </row>
    <row r="11" spans="1:9" ht="14.25" x14ac:dyDescent="0.2">
      <c r="B11" s="39">
        <f>REC_programs_detail!B20</f>
        <v>2257</v>
      </c>
      <c r="C11" s="40">
        <f>IF(B11=0,0,B11/'Summary Load Customers '!$B$18)</f>
        <v>7.3262094575294087E-3</v>
      </c>
      <c r="D11" s="39">
        <f>REC_programs_detail!C20</f>
        <v>28</v>
      </c>
      <c r="E11" s="40">
        <f>IF(D11=0,0,D11/('Summary Load Customers '!$D$18+'Summary Load Customers '!$F$18))</f>
        <v>7.2623524834651793E-4</v>
      </c>
      <c r="F11" s="39">
        <f>B11+D11</f>
        <v>2285</v>
      </c>
      <c r="G11" s="40">
        <f>IF(F11=0,0,F11/'Summary Load Customers '!$H$18)</f>
        <v>6.5921004422621436E-3</v>
      </c>
    </row>
    <row r="12" spans="1:9" ht="15" x14ac:dyDescent="0.25">
      <c r="A12" s="90" t="str">
        <f>"As the above table shows, "&amp;TEXT(F11,"0,000")&amp;" of UI's customers, or "&amp;TEXT(G11,"0.0%")&amp;" are participating in the CTCleanEnergyOptions Program."</f>
        <v>As the above table shows, 2,285 of UI's customers, or 0.7% are participating in the CTCleanEnergyOptions Program.</v>
      </c>
      <c r="G12" s="46"/>
      <c r="H12" s="25"/>
    </row>
    <row r="13" spans="1:9" ht="15" x14ac:dyDescent="0.25">
      <c r="G13" s="46"/>
      <c r="H13" s="25"/>
    </row>
    <row r="14" spans="1:9" ht="15" x14ac:dyDescent="0.25">
      <c r="A14" s="113" t="s">
        <v>38</v>
      </c>
      <c r="G14" s="46"/>
      <c r="H14" s="25"/>
    </row>
    <row r="15" spans="1:9" ht="15" x14ac:dyDescent="0.2">
      <c r="A15" s="37"/>
      <c r="B15" s="27"/>
      <c r="C15" s="27"/>
      <c r="D15" s="27"/>
      <c r="E15" s="27"/>
      <c r="F15" s="27"/>
      <c r="G15" s="47"/>
      <c r="H15" s="23"/>
    </row>
    <row r="16" spans="1:9" ht="15" x14ac:dyDescent="0.25">
      <c r="A16" s="34"/>
      <c r="B16" s="29" t="s">
        <v>2</v>
      </c>
      <c r="C16" s="48"/>
      <c r="D16" s="29" t="s">
        <v>22</v>
      </c>
      <c r="E16" s="49"/>
      <c r="F16" s="29" t="s">
        <v>29</v>
      </c>
      <c r="G16" s="31"/>
    </row>
    <row r="17" spans="1:9" ht="15" x14ac:dyDescent="0.2">
      <c r="A17" s="37" t="s">
        <v>40</v>
      </c>
      <c r="B17" s="35" t="s">
        <v>10</v>
      </c>
      <c r="C17" s="36" t="s">
        <v>16</v>
      </c>
      <c r="D17" s="35" t="str">
        <f>B17</f>
        <v>Customers</v>
      </c>
      <c r="E17" s="36" t="s">
        <v>16</v>
      </c>
      <c r="F17" s="35" t="str">
        <f>B17</f>
        <v>Customers</v>
      </c>
      <c r="G17" s="36" t="s">
        <v>15</v>
      </c>
      <c r="I17" s="24"/>
    </row>
    <row r="18" spans="1:9" ht="14.25" x14ac:dyDescent="0.2">
      <c r="B18" s="39">
        <f>REC_programs_detail!B26</f>
        <v>517</v>
      </c>
      <c r="C18" s="40">
        <f>IF(B18=0,0,B18/'Summary Load Customers '!$B$18)</f>
        <v>1.6781791269573347E-3</v>
      </c>
      <c r="D18" s="39">
        <f>REC_programs_detail!C26</f>
        <v>55</v>
      </c>
      <c r="E18" s="40">
        <f>IF(D18=0,0,D18/('Summary Load Customers '!$D$18+'Summary Load Customers '!$F$18))</f>
        <v>1.4265335235378032E-3</v>
      </c>
      <c r="F18" s="39">
        <f>B18+D18</f>
        <v>572</v>
      </c>
      <c r="G18" s="40">
        <f>IF(F18=0,0,F18/'Summary Load Customers '!$H$18)</f>
        <v>1.6501888196822521E-3</v>
      </c>
    </row>
    <row r="19" spans="1:9" ht="14.25" x14ac:dyDescent="0.2">
      <c r="A19" s="90" t="str">
        <f>"As the above table shows, "&amp;TEXT(F18,"0,000")&amp;" of UI's customers, or "&amp;TEXT(G18,"0.0%")&amp;" are participating in the REC only program."</f>
        <v>As the above table shows, 0,572 of UI's customers, or 0.2% are participating in the REC only program.</v>
      </c>
      <c r="B19" s="45"/>
      <c r="C19" s="44"/>
      <c r="D19" s="45"/>
      <c r="E19" s="44"/>
      <c r="F19" s="45"/>
      <c r="G19" s="44"/>
      <c r="H19" s="45"/>
    </row>
    <row r="20" spans="1:9" ht="14.25" x14ac:dyDescent="0.2">
      <c r="A20" s="42"/>
      <c r="B20" s="45"/>
      <c r="C20" s="44"/>
      <c r="D20" s="45"/>
      <c r="E20" s="44"/>
      <c r="F20" s="45"/>
      <c r="G20" s="44"/>
      <c r="H20" s="45"/>
    </row>
    <row r="21" spans="1:9" ht="15" x14ac:dyDescent="0.25">
      <c r="A21" s="116" t="s">
        <v>42</v>
      </c>
      <c r="B21" s="116"/>
      <c r="C21" s="116"/>
      <c r="D21" s="116"/>
      <c r="E21" s="116"/>
      <c r="F21" s="116"/>
      <c r="G21" s="116"/>
      <c r="I21" s="44"/>
    </row>
    <row r="22" spans="1:9" ht="15" x14ac:dyDescent="0.2">
      <c r="A22" s="37"/>
      <c r="B22" s="27"/>
      <c r="C22" s="27"/>
      <c r="D22" s="27"/>
      <c r="E22" s="27"/>
      <c r="F22" s="27"/>
      <c r="G22" s="47"/>
      <c r="H22" s="23"/>
      <c r="I22" s="44"/>
    </row>
    <row r="23" spans="1:9" ht="15" x14ac:dyDescent="0.25">
      <c r="A23" s="34"/>
      <c r="B23" s="29" t="s">
        <v>2</v>
      </c>
      <c r="C23" s="48"/>
      <c r="D23" s="29" t="s">
        <v>22</v>
      </c>
      <c r="E23" s="49"/>
      <c r="F23" s="29" t="s">
        <v>29</v>
      </c>
      <c r="G23" s="31"/>
    </row>
    <row r="24" spans="1:9" ht="15" x14ac:dyDescent="0.2">
      <c r="A24" s="37" t="s">
        <v>41</v>
      </c>
      <c r="B24" s="35" t="s">
        <v>10</v>
      </c>
      <c r="C24" s="36" t="s">
        <v>16</v>
      </c>
      <c r="D24" s="35" t="str">
        <f>B24</f>
        <v>Customers</v>
      </c>
      <c r="E24" s="36" t="s">
        <v>16</v>
      </c>
      <c r="F24" s="35" t="str">
        <f>B24</f>
        <v>Customers</v>
      </c>
      <c r="G24" s="36" t="s">
        <v>15</v>
      </c>
      <c r="I24" s="24"/>
    </row>
    <row r="25" spans="1:9" ht="14.25" x14ac:dyDescent="0.2">
      <c r="B25" s="39">
        <f>B11+B18</f>
        <v>2774</v>
      </c>
      <c r="C25" s="40">
        <f>IF(B25=0,0,B25/'Summary Load Customers '!$B$18)</f>
        <v>9.004388584486744E-3</v>
      </c>
      <c r="D25" s="39">
        <f>D11+D18</f>
        <v>83</v>
      </c>
      <c r="E25" s="40">
        <f>IF(D25=0,0,D25/('Summary Load Customers '!$D$18+'Summary Load Customers '!$F$18))</f>
        <v>2.152768771884321E-3</v>
      </c>
      <c r="F25" s="39">
        <f>B25+D25</f>
        <v>2857</v>
      </c>
      <c r="G25" s="40">
        <f>IF(F25=0,0,F25/'Summary Load Customers '!$H$18)</f>
        <v>8.2422892619443949E-3</v>
      </c>
    </row>
    <row r="26" spans="1:9" ht="15" x14ac:dyDescent="0.25">
      <c r="A26" s="90" t="str">
        <f>"As the above table shows, "&amp;TEXT(F25,"0,000")&amp;" of UI's customers, or "&amp;TEXT(G25,"0.0%")&amp;" are participating in the combined REC programs."</f>
        <v>As the above table shows, 2,857 of UI's customers, or 0.8% are participating in the combined REC programs.</v>
      </c>
      <c r="G26" s="46"/>
      <c r="H26" s="25"/>
    </row>
    <row r="27" spans="1:9" ht="15" x14ac:dyDescent="0.25">
      <c r="G27" s="46"/>
      <c r="H27" s="25"/>
    </row>
    <row r="28" spans="1:9" ht="13.5" x14ac:dyDescent="0.2">
      <c r="A28" s="57" t="s">
        <v>28</v>
      </c>
    </row>
    <row r="29" spans="1:9" ht="13.5" x14ac:dyDescent="0.2">
      <c r="A29" s="57"/>
    </row>
    <row r="30" spans="1:9" ht="13.5" x14ac:dyDescent="0.2">
      <c r="A30" s="57" t="s">
        <v>49</v>
      </c>
    </row>
    <row r="31" spans="1:9" x14ac:dyDescent="0.2">
      <c r="A31" s="58" t="s">
        <v>47</v>
      </c>
    </row>
    <row r="33" spans="1:1" x14ac:dyDescent="0.2">
      <c r="A33" s="58" t="s">
        <v>14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10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showZeros="0" view="pageLayout" zoomScaleNormal="110" workbookViewId="0">
      <selection activeCell="B26" sqref="B26"/>
    </sheetView>
  </sheetViews>
  <sheetFormatPr defaultColWidth="9.140625" defaultRowHeight="11.25" x14ac:dyDescent="0.2"/>
  <cols>
    <col min="1" max="1" width="28" style="65" customWidth="1"/>
    <col min="2" max="3" width="19.140625" style="65" customWidth="1"/>
    <col min="4" max="4" width="20.28515625" style="65" customWidth="1"/>
    <col min="5" max="5" width="7.140625" style="65" customWidth="1"/>
    <col min="6" max="6" width="12.5703125" style="65" customWidth="1"/>
    <col min="7" max="7" width="10.42578125" style="65" customWidth="1"/>
    <col min="8" max="16384" width="9.140625" style="65"/>
  </cols>
  <sheetData>
    <row r="1" spans="1:9" s="64" customFormat="1" ht="15" customHeight="1" x14ac:dyDescent="0.2">
      <c r="A1" s="121" t="s">
        <v>30</v>
      </c>
      <c r="B1" s="121"/>
      <c r="C1" s="121"/>
      <c r="D1" s="121"/>
      <c r="E1" s="62"/>
      <c r="F1" s="62"/>
      <c r="G1" s="63"/>
    </row>
    <row r="2" spans="1:9" s="7" customFormat="1" ht="18" customHeight="1" x14ac:dyDescent="0.2">
      <c r="A2" s="121" t="str">
        <f>'Summary Load Customers '!A2</f>
        <v>Data as of April 30, 2022</v>
      </c>
      <c r="B2" s="121"/>
      <c r="C2" s="121"/>
      <c r="D2" s="121"/>
      <c r="E2" s="22"/>
      <c r="F2" s="22"/>
      <c r="G2" s="23"/>
      <c r="H2" s="24"/>
      <c r="I2" s="24"/>
    </row>
    <row r="3" spans="1:9" s="64" customFormat="1" ht="15" customHeight="1" x14ac:dyDescent="0.2">
      <c r="A3" s="65"/>
      <c r="B3" s="65"/>
      <c r="C3" s="66"/>
      <c r="D3" s="66"/>
      <c r="E3" s="62"/>
      <c r="F3" s="62"/>
      <c r="G3" s="63"/>
    </row>
    <row r="4" spans="1:9" s="64" customFormat="1" ht="22.5" x14ac:dyDescent="0.2">
      <c r="A4" s="67" t="s">
        <v>32</v>
      </c>
      <c r="B4" s="68" t="s">
        <v>2</v>
      </c>
      <c r="C4" s="67" t="s">
        <v>3</v>
      </c>
      <c r="D4" s="67" t="s">
        <v>29</v>
      </c>
      <c r="E4" s="62"/>
      <c r="F4" s="62"/>
      <c r="G4" s="63"/>
    </row>
    <row r="5" spans="1:9" s="64" customFormat="1" ht="15" customHeight="1" x14ac:dyDescent="0.2">
      <c r="A5" s="73" t="s">
        <v>31</v>
      </c>
      <c r="B5" s="74"/>
      <c r="C5" s="75"/>
      <c r="D5" s="76">
        <f>IF(C5=0,0,C5)</f>
        <v>0</v>
      </c>
      <c r="E5" s="62"/>
      <c r="F5" s="62"/>
      <c r="G5" s="63"/>
    </row>
    <row r="6" spans="1:9" x14ac:dyDescent="0.2">
      <c r="A6" s="73" t="s">
        <v>11</v>
      </c>
      <c r="B6" s="75">
        <v>96</v>
      </c>
      <c r="C6" s="75">
        <v>2</v>
      </c>
      <c r="D6" s="76">
        <f>SUM(B6:C6)</f>
        <v>98</v>
      </c>
      <c r="E6" s="66"/>
      <c r="F6" s="66"/>
      <c r="G6" s="66"/>
    </row>
    <row r="7" spans="1:9" s="72" customFormat="1" x14ac:dyDescent="0.2">
      <c r="A7" s="73" t="s">
        <v>12</v>
      </c>
      <c r="B7" s="75">
        <v>2161</v>
      </c>
      <c r="C7" s="75">
        <v>26</v>
      </c>
      <c r="D7" s="76">
        <f>SUM(B7:C7)</f>
        <v>2187</v>
      </c>
      <c r="E7" s="69"/>
      <c r="F7" s="69"/>
      <c r="G7" s="70"/>
      <c r="H7" s="71"/>
    </row>
    <row r="8" spans="1:9" x14ac:dyDescent="0.2">
      <c r="A8" s="81" t="s">
        <v>4</v>
      </c>
      <c r="B8" s="82">
        <f>IF(B6+B7=0,0,B6+B7)</f>
        <v>2257</v>
      </c>
      <c r="C8" s="82">
        <f>IF(SUM(C5:C7)=0,0,SUM(C5:C7))</f>
        <v>28</v>
      </c>
      <c r="D8" s="82">
        <f>IF(SUM(D5:D7)=0,0,SUM(D5:D7))</f>
        <v>2285</v>
      </c>
      <c r="E8" s="66"/>
      <c r="F8" s="66"/>
      <c r="G8" s="77"/>
      <c r="H8" s="66"/>
    </row>
    <row r="9" spans="1:9" x14ac:dyDescent="0.2">
      <c r="A9" s="66"/>
      <c r="B9" s="83"/>
      <c r="C9" s="83"/>
      <c r="D9" s="83"/>
      <c r="E9" s="78"/>
      <c r="F9" s="78"/>
      <c r="G9" s="77"/>
      <c r="H9" s="66"/>
    </row>
    <row r="10" spans="1:9" ht="22.5" x14ac:dyDescent="0.2">
      <c r="A10" s="108" t="s">
        <v>35</v>
      </c>
      <c r="B10" s="67" t="s">
        <v>2</v>
      </c>
      <c r="C10" s="67" t="str">
        <f>C4</f>
        <v>Business</v>
      </c>
      <c r="D10" s="67" t="s">
        <v>29</v>
      </c>
      <c r="E10" s="79"/>
      <c r="F10" s="80"/>
      <c r="G10" s="77"/>
      <c r="H10" s="66"/>
    </row>
    <row r="11" spans="1:9" x14ac:dyDescent="0.2">
      <c r="A11" s="73" t="s">
        <v>31</v>
      </c>
      <c r="B11" s="74"/>
      <c r="C11" s="75"/>
      <c r="D11" s="76">
        <f>IF(C11=0,0,C11)</f>
        <v>0</v>
      </c>
      <c r="E11" s="79"/>
      <c r="F11" s="80"/>
      <c r="G11" s="77"/>
      <c r="H11" s="66"/>
    </row>
    <row r="12" spans="1:9" x14ac:dyDescent="0.2">
      <c r="A12" s="73" t="s">
        <v>11</v>
      </c>
      <c r="B12" s="75">
        <v>0</v>
      </c>
      <c r="C12" s="75">
        <v>0</v>
      </c>
      <c r="D12" s="76">
        <f>SUM(B12:C12)</f>
        <v>0</v>
      </c>
      <c r="E12" s="79"/>
      <c r="F12" s="80"/>
      <c r="G12" s="84"/>
      <c r="H12" s="66"/>
    </row>
    <row r="13" spans="1:9" x14ac:dyDescent="0.2">
      <c r="A13" s="73" t="s">
        <v>12</v>
      </c>
      <c r="B13" s="75">
        <v>0</v>
      </c>
      <c r="C13" s="75">
        <v>0</v>
      </c>
      <c r="D13" s="76">
        <f>SUM(B13:C13)</f>
        <v>0</v>
      </c>
      <c r="E13" s="85"/>
      <c r="F13" s="86"/>
      <c r="G13" s="84"/>
      <c r="H13" s="66"/>
    </row>
    <row r="14" spans="1:9" x14ac:dyDescent="0.2">
      <c r="A14" s="81" t="str">
        <f>A8</f>
        <v>Total</v>
      </c>
      <c r="B14" s="82">
        <f>IF(B12+B13=0,0,B12+B13)</f>
        <v>0</v>
      </c>
      <c r="C14" s="82">
        <f>IF(SUM(C11:C13)=0,0,SUM(C11:C13))</f>
        <v>0</v>
      </c>
      <c r="D14" s="82">
        <f>IF(SUM(D11:D13)=0,0,SUM(D11:D13))</f>
        <v>0</v>
      </c>
      <c r="E14" s="66"/>
      <c r="F14" s="66"/>
      <c r="G14" s="84"/>
      <c r="H14" s="66"/>
    </row>
    <row r="15" spans="1:9" x14ac:dyDescent="0.2">
      <c r="A15" s="66"/>
      <c r="B15" s="66"/>
      <c r="C15" s="66"/>
      <c r="D15" s="89"/>
      <c r="E15" s="78"/>
      <c r="F15" s="78"/>
      <c r="G15" s="77"/>
      <c r="H15" s="66"/>
    </row>
    <row r="16" spans="1:9" ht="22.5" x14ac:dyDescent="0.2">
      <c r="A16" s="67" t="s">
        <v>36</v>
      </c>
      <c r="B16" s="67" t="s">
        <v>2</v>
      </c>
      <c r="C16" s="67" t="str">
        <f>C4</f>
        <v>Business</v>
      </c>
      <c r="D16" s="67" t="s">
        <v>29</v>
      </c>
      <c r="E16" s="79"/>
      <c r="F16" s="80"/>
      <c r="G16" s="77"/>
      <c r="H16" s="66"/>
    </row>
    <row r="17" spans="1:8" x14ac:dyDescent="0.2">
      <c r="A17" s="73" t="s">
        <v>31</v>
      </c>
      <c r="B17" s="74"/>
      <c r="C17" s="87">
        <f t="shared" ref="C17:D18" si="0">IF(C5+C11=0,0,C5+C11)</f>
        <v>0</v>
      </c>
      <c r="D17" s="76"/>
      <c r="E17" s="79"/>
      <c r="F17" s="80"/>
      <c r="G17" s="77"/>
      <c r="H17" s="66"/>
    </row>
    <row r="18" spans="1:8" x14ac:dyDescent="0.2">
      <c r="A18" s="73" t="s">
        <v>11</v>
      </c>
      <c r="B18" s="87">
        <f>IF(B6+B12=0,0,B6+B12)</f>
        <v>96</v>
      </c>
      <c r="C18" s="87">
        <f>IF(C6+C12=0,0,C6+C12)</f>
        <v>2</v>
      </c>
      <c r="D18" s="76">
        <f t="shared" si="0"/>
        <v>98</v>
      </c>
      <c r="E18" s="79"/>
      <c r="F18" s="80"/>
      <c r="G18" s="84"/>
      <c r="H18" s="66"/>
    </row>
    <row r="19" spans="1:8" x14ac:dyDescent="0.2">
      <c r="A19" s="73" t="s">
        <v>12</v>
      </c>
      <c r="B19" s="87">
        <f>IF(B7+B13=0,0,B7+B13)</f>
        <v>2161</v>
      </c>
      <c r="C19" s="87">
        <f>IF(C7+C13=0,0,C7+C13)</f>
        <v>26</v>
      </c>
      <c r="D19" s="76">
        <f>IF(D7+D13=0,0,D7+D13)</f>
        <v>2187</v>
      </c>
      <c r="E19" s="85"/>
      <c r="F19" s="86"/>
      <c r="G19" s="84"/>
      <c r="H19" s="66"/>
    </row>
    <row r="20" spans="1:8" x14ac:dyDescent="0.2">
      <c r="A20" s="81" t="str">
        <f>A8</f>
        <v>Total</v>
      </c>
      <c r="B20" s="82">
        <f>IF(B18+B19=0,0,B18+B19)</f>
        <v>2257</v>
      </c>
      <c r="C20" s="82">
        <f>IF(SUM(C17:C19)=0,0,SUM(C17:C19))</f>
        <v>28</v>
      </c>
      <c r="D20" s="82">
        <f>SUM(D17:D19)</f>
        <v>2285</v>
      </c>
      <c r="E20" s="84"/>
      <c r="F20" s="84"/>
      <c r="G20" s="84"/>
      <c r="H20" s="66"/>
    </row>
    <row r="21" spans="1:8" x14ac:dyDescent="0.2">
      <c r="B21" s="66"/>
      <c r="C21" s="66"/>
      <c r="E21" s="77"/>
      <c r="F21" s="84"/>
      <c r="G21" s="84"/>
      <c r="H21" s="66"/>
    </row>
    <row r="22" spans="1:8" ht="22.5" x14ac:dyDescent="0.2">
      <c r="A22" s="108" t="s">
        <v>33</v>
      </c>
      <c r="B22" s="67" t="s">
        <v>2</v>
      </c>
      <c r="C22" s="67" t="s">
        <v>3</v>
      </c>
      <c r="D22" s="67" t="s">
        <v>29</v>
      </c>
      <c r="E22" s="66"/>
      <c r="F22" s="84"/>
      <c r="G22" s="84"/>
      <c r="H22" s="66"/>
    </row>
    <row r="23" spans="1:8" x14ac:dyDescent="0.2">
      <c r="A23" s="73" t="s">
        <v>31</v>
      </c>
      <c r="B23" s="74"/>
      <c r="C23" s="87">
        <f>IF(C11+C17=0,0,C11+C17)</f>
        <v>0</v>
      </c>
      <c r="D23" s="76">
        <f>IF(C23=0,0,C23)</f>
        <v>0</v>
      </c>
      <c r="E23" s="66"/>
      <c r="F23" s="84"/>
      <c r="G23" s="84"/>
      <c r="H23" s="66"/>
    </row>
    <row r="24" spans="1:8" x14ac:dyDescent="0.2">
      <c r="A24" s="73" t="s">
        <v>11</v>
      </c>
      <c r="B24" s="75">
        <v>153</v>
      </c>
      <c r="C24" s="75">
        <v>11</v>
      </c>
      <c r="D24" s="76">
        <f>SUM(B24:C24)</f>
        <v>164</v>
      </c>
      <c r="E24" s="66"/>
      <c r="F24" s="84"/>
      <c r="G24" s="84"/>
      <c r="H24" s="66"/>
    </row>
    <row r="25" spans="1:8" x14ac:dyDescent="0.2">
      <c r="A25" s="73" t="s">
        <v>12</v>
      </c>
      <c r="B25" s="75">
        <v>364</v>
      </c>
      <c r="C25" s="75">
        <v>44</v>
      </c>
      <c r="D25" s="76">
        <f>SUM(B25:C25)</f>
        <v>408</v>
      </c>
    </row>
    <row r="26" spans="1:8" x14ac:dyDescent="0.2">
      <c r="A26" s="81" t="str">
        <f>A20</f>
        <v>Total</v>
      </c>
      <c r="B26" s="96">
        <f>IF(B24+B25=0,0,B24+B25)</f>
        <v>517</v>
      </c>
      <c r="C26" s="82">
        <f>IF(SUM(C23:C25)=0,0,SUM(C23:C25))</f>
        <v>55</v>
      </c>
      <c r="D26" s="82">
        <f>IF(SUM(D23:D25)=0,0,SUM(D23:D25))</f>
        <v>572</v>
      </c>
    </row>
    <row r="28" spans="1:8" x14ac:dyDescent="0.2">
      <c r="A28" s="67" t="s">
        <v>34</v>
      </c>
      <c r="B28" s="67" t="s">
        <v>2</v>
      </c>
      <c r="C28" s="67" t="str">
        <f>C16</f>
        <v>Business</v>
      </c>
      <c r="D28" s="67" t="s">
        <v>29</v>
      </c>
    </row>
    <row r="29" spans="1:8" x14ac:dyDescent="0.2">
      <c r="A29" s="73" t="s">
        <v>31</v>
      </c>
      <c r="B29" s="74">
        <f>B17+B23</f>
        <v>0</v>
      </c>
      <c r="C29" s="87">
        <f t="shared" ref="C29:D31" si="1">C17+C23</f>
        <v>0</v>
      </c>
      <c r="D29" s="76">
        <f t="shared" si="1"/>
        <v>0</v>
      </c>
    </row>
    <row r="30" spans="1:8" x14ac:dyDescent="0.2">
      <c r="A30" s="73" t="s">
        <v>11</v>
      </c>
      <c r="B30" s="87">
        <f>B18+B24</f>
        <v>249</v>
      </c>
      <c r="C30" s="87">
        <f t="shared" si="1"/>
        <v>13</v>
      </c>
      <c r="D30" s="76">
        <f t="shared" si="1"/>
        <v>262</v>
      </c>
    </row>
    <row r="31" spans="1:8" x14ac:dyDescent="0.2">
      <c r="A31" s="73" t="s">
        <v>12</v>
      </c>
      <c r="B31" s="87">
        <f>B19+B25</f>
        <v>2525</v>
      </c>
      <c r="C31" s="87">
        <f t="shared" si="1"/>
        <v>70</v>
      </c>
      <c r="D31" s="76">
        <f t="shared" si="1"/>
        <v>2595</v>
      </c>
    </row>
    <row r="32" spans="1:8" x14ac:dyDescent="0.2">
      <c r="A32" s="81" t="str">
        <f>A26</f>
        <v>Total</v>
      </c>
      <c r="B32" s="82">
        <f>IF(B30+B31=0,0,B30+B31)</f>
        <v>2774</v>
      </c>
      <c r="C32" s="82">
        <f>IF(SUM(C29:C31)=0,0,SUM(C29:C31))</f>
        <v>83</v>
      </c>
      <c r="D32" s="82">
        <f>SUM(D29:D31)</f>
        <v>2857</v>
      </c>
    </row>
    <row r="33" spans="1:7" x14ac:dyDescent="0.2">
      <c r="E33" s="66"/>
      <c r="F33" s="66"/>
      <c r="G33" s="66"/>
    </row>
    <row r="34" spans="1:7" x14ac:dyDescent="0.2">
      <c r="A34" s="88" t="str">
        <f>"In summary, "&amp;TEXT($D$20,"0,000")&amp; " of UI's customers are participating in the CTCleanEnergyOptions Program"</f>
        <v>In summary, 2,285 of UI's customers are participating in the CTCleanEnergyOptions Program</v>
      </c>
    </row>
    <row r="35" spans="1:7" x14ac:dyDescent="0.2">
      <c r="A35" s="88" t="str">
        <f>"In summary, "&amp;TEXT($D$26,"000")&amp; " of UI's customers are participating in RECs only with Sterling Planet"</f>
        <v>In summary, 572 of UI's customers are participating in RECs only with Sterling Planet</v>
      </c>
    </row>
    <row r="36" spans="1:7" x14ac:dyDescent="0.2">
      <c r="A36" s="88" t="str">
        <f>"In summary, "&amp;TEXT($D$32,"0,000")&amp; " of UI's customers are participating in all REC programs"</f>
        <v>In summary, 2,857 of UI's customers are participating in all REC programs</v>
      </c>
    </row>
    <row r="38" spans="1:7" x14ac:dyDescent="0.2">
      <c r="A38" s="89" t="s">
        <v>17</v>
      </c>
    </row>
    <row r="39" spans="1:7" x14ac:dyDescent="0.2">
      <c r="A39" s="66" t="s">
        <v>13</v>
      </c>
    </row>
  </sheetData>
  <mergeCells count="2">
    <mergeCell ref="A1:D1"/>
    <mergeCell ref="A2:D2"/>
  </mergeCells>
  <phoneticPr fontId="10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73847A1E9B97F49BA46858ADBE2F307" ma:contentTypeVersion="14" ma:contentTypeDescription="Crear nuevo documento." ma:contentTypeScope="" ma:versionID="9a41a406cebf6cce94de0d4d99281d09">
  <xsd:schema xmlns:xsd="http://www.w3.org/2001/XMLSchema" xmlns:xs="http://www.w3.org/2001/XMLSchema" xmlns:p="http://schemas.microsoft.com/office/2006/metadata/properties" xmlns:ns3="01ff2d7e-782e-4868-861d-b0d3b4b9d0c2" xmlns:ns4="cd86f438-89d9-47e9-a174-9969eae3e2b9" targetNamespace="http://schemas.microsoft.com/office/2006/metadata/properties" ma:root="true" ma:fieldsID="9e5d4f284f753d91786dd3f9ea3f8810" ns3:_="" ns4:_="">
    <xsd:import namespace="01ff2d7e-782e-4868-861d-b0d3b4b9d0c2"/>
    <xsd:import namespace="cd86f438-89d9-47e9-a174-9969eae3e2b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ff2d7e-782e-4868-861d-b0d3b4b9d0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86f438-89d9-47e9-a174-9969eae3e2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1D23E-D727-4C6C-8163-BFCC10F82F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ff2d7e-782e-4868-861d-b0d3b4b9d0c2"/>
    <ds:schemaRef ds:uri="cd86f438-89d9-47e9-a174-9969eae3e2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E1DDE4-AEA8-48A5-875B-FF6C4D3F3D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D2D0F-D661-492B-92FB-4A59CF007833}">
  <ds:schemaRefs>
    <ds:schemaRef ds:uri="01ff2d7e-782e-4868-861d-b0d3b4b9d0c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d86f438-89d9-47e9-a174-9969eae3e2b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 Load Customers </vt:lpstr>
      <vt:lpstr>Suppliers</vt:lpstr>
      <vt:lpstr>Summary REC Customers</vt:lpstr>
      <vt:lpstr>REC_programs_detail</vt:lpstr>
    </vt:vector>
  </TitlesOfParts>
  <Company>State of CT - DPUC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2022-04-13T13:58:54Z</cp:lastPrinted>
  <dcterms:created xsi:type="dcterms:W3CDTF">2009-03-17T13:14:28Z</dcterms:created>
  <dcterms:modified xsi:type="dcterms:W3CDTF">2022-05-12T13:38:03Z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0x010100873847A1E9B97F49BA46858ADBE2F307</vt:lpwstr>
  </property>
</Properties>
</file>