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grfil01.amer.iberdrola.local\M1_User_wrk_grp\File_output_data\PURA_reports_filings\06-10-22_Switch_reports_and_letters\Supplier Counts\2022-09\"/>
    </mc:Choice>
  </mc:AlternateContent>
  <xr:revisionPtr revIDLastSave="0" documentId="13_ncr:1_{5D6E17CE-BA2F-4B4B-A52E-75F43872B227}" xr6:coauthVersionLast="47" xr6:coauthVersionMax="47" xr10:uidLastSave="{00000000-0000-0000-0000-000000000000}"/>
  <bookViews>
    <workbookView xWindow="3855" yWindow="2130" windowWidth="21600" windowHeight="11325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5" l="1"/>
  <c r="B19" i="5"/>
  <c r="C19" i="5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C31" i="5"/>
  <c r="B29" i="5"/>
  <c r="C8" i="5"/>
  <c r="A2" i="6"/>
  <c r="B30" i="5"/>
  <c r="C18" i="5"/>
  <c r="C30" i="5"/>
  <c r="B31" i="5"/>
  <c r="A2" i="5"/>
  <c r="A3" i="8"/>
  <c r="B26" i="5"/>
  <c r="B18" i="8" s="1"/>
  <c r="F24" i="8"/>
  <c r="F17" i="8"/>
  <c r="F10" i="8"/>
  <c r="D5" i="5"/>
  <c r="D11" i="5"/>
  <c r="C17" i="5"/>
  <c r="C23" i="5" s="1"/>
  <c r="D6" i="5"/>
  <c r="D12" i="5"/>
  <c r="D24" i="5"/>
  <c r="D7" i="5"/>
  <c r="D13" i="5"/>
  <c r="D25" i="5"/>
  <c r="B18" i="7"/>
  <c r="D24" i="8"/>
  <c r="D17" i="8"/>
  <c r="D10" i="8"/>
  <c r="A20" i="5"/>
  <c r="A26" i="5" s="1"/>
  <c r="A32" i="5" s="1"/>
  <c r="C16" i="5"/>
  <c r="C28" i="5" s="1"/>
  <c r="C14" i="5"/>
  <c r="B8" i="5"/>
  <c r="B14" i="5"/>
  <c r="A18" i="7"/>
  <c r="A17" i="7"/>
  <c r="D6" i="7"/>
  <c r="F6" i="7"/>
  <c r="H6" i="7"/>
  <c r="D15" i="7"/>
  <c r="F15" i="7"/>
  <c r="H15" i="7"/>
  <c r="A16" i="7"/>
  <c r="A14" i="5"/>
  <c r="C10" i="5"/>
  <c r="B20" i="5"/>
  <c r="B11" i="8" s="1"/>
  <c r="H17" i="7"/>
  <c r="F18" i="7"/>
  <c r="G16" i="7" s="1"/>
  <c r="D18" i="7"/>
  <c r="E16" i="7" s="1"/>
  <c r="H16" i="7"/>
  <c r="H8" i="7"/>
  <c r="B9" i="7"/>
  <c r="C7" i="7" s="1"/>
  <c r="D19" i="5" l="1"/>
  <c r="D31" i="5" s="1"/>
  <c r="D14" i="5"/>
  <c r="C20" i="5"/>
  <c r="D11" i="8" s="1"/>
  <c r="F11" i="8" s="1"/>
  <c r="C29" i="5"/>
  <c r="C32" i="5" s="1"/>
  <c r="D23" i="5"/>
  <c r="D29" i="5" s="1"/>
  <c r="C26" i="5"/>
  <c r="D18" i="8" s="1"/>
  <c r="D18" i="5"/>
  <c r="D30" i="5" s="1"/>
  <c r="C8" i="7"/>
  <c r="D8" i="5"/>
  <c r="B32" i="5"/>
  <c r="C11" i="8"/>
  <c r="B25" i="8"/>
  <c r="F34" i="6"/>
  <c r="G17" i="7"/>
  <c r="E17" i="7"/>
  <c r="E18" i="8"/>
  <c r="H18" i="7"/>
  <c r="C18" i="8"/>
  <c r="C17" i="7"/>
  <c r="C16" i="7"/>
  <c r="D25" i="8" l="1"/>
  <c r="E25" i="8" s="1"/>
  <c r="E11" i="8"/>
  <c r="D20" i="5"/>
  <c r="A34" i="5" s="1"/>
  <c r="D26" i="5"/>
  <c r="A35" i="5" s="1"/>
  <c r="D32" i="5"/>
  <c r="A36" i="5" s="1"/>
  <c r="F25" i="8"/>
  <c r="G25" i="8" s="1"/>
  <c r="A26" i="8" s="1"/>
  <c r="F18" i="8"/>
  <c r="G18" i="8" s="1"/>
  <c r="A19" i="8" s="1"/>
  <c r="C25" i="8"/>
  <c r="G11" i="8"/>
  <c r="A12" i="8" s="1"/>
  <c r="I17" i="7"/>
  <c r="A21" i="7" s="1"/>
  <c r="I16" i="7"/>
  <c r="A20" i="7" s="1"/>
  <c r="D9" i="7" l="1"/>
  <c r="E8" i="7" s="1"/>
  <c r="H7" i="7"/>
  <c r="F9" i="7"/>
  <c r="G8" i="7" s="1"/>
  <c r="E7" i="7" l="1"/>
  <c r="H9" i="7"/>
  <c r="I8" i="7" s="1"/>
  <c r="A11" i="7" s="1"/>
  <c r="G7" i="7"/>
  <c r="I7" i="7" l="1"/>
  <c r="A10" i="7" s="1"/>
</calcChain>
</file>

<file path=xl/sharedStrings.xml><?xml version="1.0" encoding="utf-8"?>
<sst xmlns="http://schemas.openxmlformats.org/spreadsheetml/2006/main" count="138" uniqueCount="79">
  <si>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</si>
  <si>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</si>
  <si>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</si>
  <si>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</si>
  <si>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</si>
  <si>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</si>
  <si>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</si>
  <si>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</si>
  <si>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</si>
  <si>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</si>
  <si>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Customers</t>
  </si>
  <si>
    <t>50% Option</t>
  </si>
  <si>
    <t>100 % Option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</si>
  <si>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</si>
  <si>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</si>
  <si>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</si>
  <si>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</si>
  <si>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</si>
  <si>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</si>
  <si>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</si>
  <si>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</si>
  <si>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</si>
  <si>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</si>
  <si>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</si>
  <si>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</si>
  <si>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</si>
  <si>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</si>
  <si>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</si>
  <si>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</si>
  <si>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</si>
  <si>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</si>
  <si>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</si>
  <si>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</si>
  <si>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</si>
  <si>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</si>
  <si>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</si>
  <si>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</si>
  <si>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</si>
  <si>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</si>
  <si>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</si>
  <si>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</si>
  <si>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</si>
  <si>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</si>
  <si>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</si>
  <si>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</si>
  <si>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</si>
  <si>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</si>
  <si>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</si>
  <si>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</si>
  <si>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</si>
  <si>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Direct Energy Business</t>
  </si>
  <si>
    <t>Totals</t>
  </si>
  <si>
    <t>Calpine Energy Solutions, LLC</t>
  </si>
  <si>
    <t>Champion Energy Services</t>
  </si>
  <si>
    <t>Constellation NewEnergy - C&amp;I</t>
  </si>
  <si>
    <t>Constellation NewEnergy - MM</t>
  </si>
  <si>
    <t>Direct Energy Services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</si>
  <si>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</si>
  <si>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</si>
  <si>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</si>
  <si>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</si>
  <si>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</si>
  <si>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</si>
  <si>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</si>
  <si>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</si>
  <si>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</si>
  <si>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</si>
  <si>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</si>
  <si>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</si>
  <si>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Texas Retail Energy</t>
  </si>
  <si>
    <t>Town Square Energy, LLC</t>
  </si>
  <si>
    <t>Verde Energy USA,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</si>
  <si>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</si>
  <si>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</si>
  <si>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</si>
  <si>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</si>
  <si>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</si>
  <si>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Catalyst Power &amp; Gas, LLC</t>
  </si>
  <si>
    <t>Data as of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</si>
</sst>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8" fillId="2" borderId="0" xfId="0" applyFont="1" applyFill="1" applyProtection="1"/>
    <xf numFmtId="14" fontId="10" fillId="0" borderId="0" xfId="0" applyNumberFormat="1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11" fillId="3" borderId="2" xfId="0" applyFont="1" applyFill="1" applyBorder="1" applyAlignment="1" applyProtection="1">
      <alignment horizontal="center" vertical="center" wrapText="1"/>
    </xf>
    <xf numFmtId="164" fontId="4" fillId="0" borderId="8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center"/>
    </xf>
    <xf numFmtId="3" fontId="6" fillId="0" borderId="7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showZeros="0" tabSelected="1" showWhiteSpace="0" view="pageLayout" topLeftCell="A4" zoomScaleNormal="100" workbookViewId="0">
      <selection activeCell="H16" sqref="H16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0" width="9.140625" style="2" customWidth="1"/>
    <col min="11" max="16384" width="9.140625" style="2"/>
  </cols>
  <sheetData>
    <row r="1" spans="1:9" s="7" customFormat="1" ht="18" customHeight="1" x14ac:dyDescent="0.2">
      <c r="A1" s="21" t="s">
        <v>22</v>
      </c>
      <c r="B1" s="22"/>
      <c r="C1" s="22"/>
      <c r="D1" s="22"/>
      <c r="E1" s="22"/>
      <c r="F1" s="22"/>
      <c r="G1" s="23"/>
      <c r="H1" s="24"/>
      <c r="I1" s="24"/>
    </row>
    <row r="2" spans="1:9" s="7" customFormat="1" ht="18" customHeight="1" x14ac:dyDescent="0.2">
      <c r="A2" s="97" t="s">
        <v>78</v>
      </c>
      <c r="B2" s="97"/>
      <c r="C2" s="24"/>
      <c r="D2" s="61"/>
      <c r="E2" s="61"/>
      <c r="F2" s="61"/>
      <c r="G2" s="24"/>
      <c r="H2" s="24"/>
      <c r="I2" s="24"/>
    </row>
    <row r="4" spans="1:9" ht="18" customHeight="1" x14ac:dyDescent="0.2">
      <c r="A4" s="26" t="s">
        <v>25</v>
      </c>
      <c r="B4" s="27"/>
      <c r="C4" s="27"/>
      <c r="D4" s="27"/>
      <c r="E4" s="27"/>
      <c r="F4" s="27"/>
      <c r="G4" s="28"/>
      <c r="H4" s="24"/>
      <c r="I4" s="24"/>
    </row>
    <row r="5" spans="1:9" s="33" customFormat="1" ht="18" customHeight="1" x14ac:dyDescent="0.2">
      <c r="A5" s="2"/>
      <c r="B5" s="29" t="s">
        <v>26</v>
      </c>
      <c r="C5" s="30"/>
      <c r="D5" s="29" t="s">
        <v>5</v>
      </c>
      <c r="E5" s="31"/>
      <c r="F5" s="29" t="s">
        <v>6</v>
      </c>
      <c r="G5" s="32"/>
      <c r="H5" s="29" t="s">
        <v>28</v>
      </c>
      <c r="I5" s="31"/>
    </row>
    <row r="6" spans="1:9" ht="18" customHeight="1" x14ac:dyDescent="0.2">
      <c r="A6" s="34"/>
      <c r="B6" s="35" t="s">
        <v>7</v>
      </c>
      <c r="C6" s="36" t="s">
        <v>15</v>
      </c>
      <c r="D6" s="35" t="str">
        <f>B6</f>
        <v>MWh</v>
      </c>
      <c r="E6" s="36" t="s">
        <v>15</v>
      </c>
      <c r="F6" s="35" t="str">
        <f>D6</f>
        <v>MWh</v>
      </c>
      <c r="G6" s="36" t="s">
        <v>15</v>
      </c>
      <c r="H6" s="35" t="str">
        <f>F6</f>
        <v>MWh</v>
      </c>
      <c r="I6" s="36" t="s">
        <v>14</v>
      </c>
    </row>
    <row r="7" spans="1:9" ht="18" customHeight="1" x14ac:dyDescent="0.2">
      <c r="A7" s="37" t="s">
        <v>8</v>
      </c>
      <c r="B7" s="59">
        <v>21605.406000000003</v>
      </c>
      <c r="C7" s="103">
        <f>IF(B7=0,0,B7/$B$9)</f>
        <v>0.12333950778545107</v>
      </c>
      <c r="D7" s="59">
        <v>59566.518000000084</v>
      </c>
      <c r="E7" s="103">
        <f>IF(D7=0,0,D7/$D$9)</f>
        <v>0.46658013894201172</v>
      </c>
      <c r="F7" s="59">
        <v>98429.604999999996</v>
      </c>
      <c r="G7" s="103">
        <f>IF(F7=0,0,F7/$F$9)</f>
        <v>0.93950247002423393</v>
      </c>
      <c r="H7" s="105">
        <f>IF(B7+D7+F7=0,0,B7+D7+F7)</f>
        <v>179601.5290000001</v>
      </c>
      <c r="I7" s="38">
        <f>IF(H7=0,0,H7/$H$9)</f>
        <v>0.44062727115234945</v>
      </c>
    </row>
    <row r="8" spans="1:9" ht="18" customHeight="1" x14ac:dyDescent="0.2">
      <c r="A8" s="37" t="s">
        <v>9</v>
      </c>
      <c r="B8" s="106">
        <v>153564.79199999996</v>
      </c>
      <c r="C8" s="103">
        <f>IF(B8=0,0,B8/$B$9)</f>
        <v>0.87666049221454889</v>
      </c>
      <c r="D8" s="106">
        <v>68099.691999999995</v>
      </c>
      <c r="E8" s="103">
        <f>IF(D8=0,0,D8/$D$9)</f>
        <v>0.53341986105798822</v>
      </c>
      <c r="F8" s="59">
        <v>6338.1930000000002</v>
      </c>
      <c r="G8" s="103">
        <f>IF(F8=0,0,F8/$F$9)</f>
        <v>6.0497529975766032E-2</v>
      </c>
      <c r="H8" s="106">
        <f>IF(B8+D8+F8=0,0,B8+D8+F8)</f>
        <v>228002.67699999994</v>
      </c>
      <c r="I8" s="38">
        <f>IF(H8=0,0,H8/$H$9)</f>
        <v>0.55937272884765066</v>
      </c>
    </row>
    <row r="9" spans="1:9" ht="18" customHeight="1" x14ac:dyDescent="0.2">
      <c r="A9" s="95" t="s">
        <v>4</v>
      </c>
      <c r="B9" s="39">
        <f>SUM(B7:B8)</f>
        <v>175170.19799999997</v>
      </c>
      <c r="C9" s="40"/>
      <c r="D9" s="39">
        <f>SUM(D7:D8)</f>
        <v>127666.21000000008</v>
      </c>
      <c r="E9" s="40"/>
      <c r="F9" s="39">
        <f>SUM(F7:F8)</f>
        <v>104767.798</v>
      </c>
      <c r="G9" s="40"/>
      <c r="H9" s="39">
        <f>IF(H7+H8=0,0,H7+H8)</f>
        <v>407604.20600000001</v>
      </c>
      <c r="I9" s="41"/>
    </row>
    <row r="10" spans="1:9" ht="18" customHeight="1" x14ac:dyDescent="0.2">
      <c r="A10" s="90" t="str">
        <f>"As the above table shows, "&amp;TEXT(H7,"0,000")&amp; " MWh, or "&amp;TEXT(I7,"0.0%")&amp;" of UI's total load is served by electric suppliers"</f>
        <v>As the above table shows, 179,602 MWh, or 44.1% of UI's total load is served by electric suppliers</v>
      </c>
      <c r="H10" s="25"/>
    </row>
    <row r="11" spans="1:9" ht="18" customHeight="1" x14ac:dyDescent="0.25">
      <c r="A11" s="90" t="str">
        <f>"while "&amp;TEXT(H8,"0,000")&amp;" MHh, or "&amp;TEXT(I8,"0.0%")&amp;" of the load is provided under Standard Service or Last Resort service through UI."</f>
        <v>while 228,003 MHh, or 55.9% of the load is provided under Standard Service or Last Resort service through UI.</v>
      </c>
      <c r="B11" s="43"/>
      <c r="C11" s="44"/>
      <c r="D11" s="43"/>
      <c r="E11" s="44"/>
      <c r="F11" s="45"/>
      <c r="G11" s="46"/>
      <c r="H11" s="25"/>
    </row>
    <row r="12" spans="1:9" ht="15" x14ac:dyDescent="0.25">
      <c r="G12" s="46"/>
      <c r="H12" s="25"/>
    </row>
    <row r="13" spans="1:9" ht="18" customHeight="1" x14ac:dyDescent="0.2">
      <c r="A13" s="26" t="s">
        <v>24</v>
      </c>
      <c r="B13" s="27"/>
      <c r="C13" s="27"/>
      <c r="D13" s="27"/>
      <c r="E13" s="27"/>
      <c r="F13" s="27"/>
      <c r="G13" s="47"/>
      <c r="H13" s="23"/>
      <c r="I13" s="24"/>
    </row>
    <row r="14" spans="1:9" ht="18" customHeight="1" x14ac:dyDescent="0.25">
      <c r="A14" s="37"/>
      <c r="B14" s="29" t="s">
        <v>26</v>
      </c>
      <c r="C14" s="48"/>
      <c r="D14" s="29" t="s">
        <v>5</v>
      </c>
      <c r="E14" s="49"/>
      <c r="F14" s="29" t="s">
        <v>6</v>
      </c>
      <c r="G14" s="32"/>
      <c r="H14" s="29" t="s">
        <v>28</v>
      </c>
      <c r="I14" s="31"/>
    </row>
    <row r="15" spans="1:9" ht="18" customHeight="1" x14ac:dyDescent="0.2">
      <c r="A15" s="34"/>
      <c r="B15" s="35" t="s">
        <v>10</v>
      </c>
      <c r="C15" s="36" t="s">
        <v>15</v>
      </c>
      <c r="D15" s="35" t="str">
        <f>B15</f>
        <v>Customers</v>
      </c>
      <c r="E15" s="36" t="s">
        <v>15</v>
      </c>
      <c r="F15" s="35" t="str">
        <f>D15</f>
        <v>Customers</v>
      </c>
      <c r="G15" s="36" t="s">
        <v>15</v>
      </c>
      <c r="H15" s="35" t="str">
        <f>F15</f>
        <v>Customers</v>
      </c>
      <c r="I15" s="36" t="s">
        <v>14</v>
      </c>
    </row>
    <row r="16" spans="1:9" ht="18" customHeight="1" x14ac:dyDescent="0.2">
      <c r="A16" s="37" t="str">
        <f>A7</f>
        <v>Suppliers</v>
      </c>
      <c r="B16" s="59">
        <v>32487</v>
      </c>
      <c r="C16" s="103">
        <f>IF(B16=0,0,B16/$B$18)</f>
        <v>0.10541840271017484</v>
      </c>
      <c r="D16" s="59">
        <v>14857</v>
      </c>
      <c r="E16" s="104">
        <f>IF(D16=0,0,D16/$D$18)</f>
        <v>0.38897761487105642</v>
      </c>
      <c r="F16" s="59">
        <v>186</v>
      </c>
      <c r="G16" s="103">
        <f>IF(F16=0,0,F16/$F$18)</f>
        <v>0.8571428571428571</v>
      </c>
      <c r="H16" s="105">
        <f>IF(B16+D16+F16=0,0,B16+D16+F16)</f>
        <v>47530</v>
      </c>
      <c r="I16" s="38">
        <f>IF(H16=0,0,H16/$H$18)</f>
        <v>0.137138471481661</v>
      </c>
    </row>
    <row r="17" spans="1:9" ht="18" customHeight="1" x14ac:dyDescent="0.2">
      <c r="A17" s="37" t="str">
        <f>A8</f>
        <v>UI</v>
      </c>
      <c r="B17" s="60">
        <v>275685</v>
      </c>
      <c r="C17" s="103">
        <f>IF(B17=0,0,B17/$B$18)</f>
        <v>0.89458159728982511</v>
      </c>
      <c r="D17" s="60">
        <v>23338</v>
      </c>
      <c r="E17" s="104">
        <f>IF(D17=0,0,D17/$D$18)</f>
        <v>0.61102238512894358</v>
      </c>
      <c r="F17" s="60">
        <v>31</v>
      </c>
      <c r="G17" s="103">
        <f>IF(F17=0,0,F17/$F$18)</f>
        <v>0.14285714285714285</v>
      </c>
      <c r="H17" s="60">
        <f>IF(B17+D17+F17=0,0,B17+D17+F17)</f>
        <v>299054</v>
      </c>
      <c r="I17" s="38">
        <f>IF(H17=0,0,H17/$H$18)</f>
        <v>0.86286152851833897</v>
      </c>
    </row>
    <row r="18" spans="1:9" ht="18" customHeight="1" x14ac:dyDescent="0.2">
      <c r="A18" s="37" t="str">
        <f>A9</f>
        <v>Total</v>
      </c>
      <c r="B18" s="39">
        <f>SUM(B16:B17)</f>
        <v>308172</v>
      </c>
      <c r="C18" s="50"/>
      <c r="D18" s="39">
        <f>SUM(D16:D17)</f>
        <v>38195</v>
      </c>
      <c r="E18" s="40"/>
      <c r="F18" s="39">
        <f>SUM(F16:F17)</f>
        <v>217</v>
      </c>
      <c r="G18" s="40"/>
      <c r="H18" s="39">
        <f>IF(H16+H17=0,0,H16+H17)</f>
        <v>346584</v>
      </c>
      <c r="I18" s="41"/>
    </row>
    <row r="19" spans="1:9" ht="18" customHeight="1" x14ac:dyDescent="0.25">
      <c r="G19" s="46"/>
      <c r="H19" s="25"/>
    </row>
    <row r="20" spans="1:9" ht="18" customHeight="1" x14ac:dyDescent="0.25">
      <c r="A20" s="90" t="str">
        <f>"As the above table shows, "&amp;TEXT(H16,"0,000")&amp; " of UI's total customers, or "&amp;TEXT(I16,"0.0%")&amp;" are served by electric suppliers"</f>
        <v>As the above table shows, 47,530 of UI's total customers, or 13.7% are served by electric suppliers</v>
      </c>
      <c r="G20" s="46"/>
      <c r="H20" s="25"/>
    </row>
    <row r="21" spans="1:9" ht="18" customHeight="1" x14ac:dyDescent="0.25">
      <c r="A21" s="90" t="str">
        <f>"while "&amp;TEXT(H17,"0,000")&amp;" or "&amp;TEXT(I17,"0.0%")&amp;" of the customers continue to receive Standard Service or Last Resort service through UI."</f>
        <v>while 299,054 or 86.3% of the customers continue to receive Standard Service or Last Resort service through UI.</v>
      </c>
      <c r="B21" s="51"/>
      <c r="C21" s="51"/>
      <c r="D21" s="51"/>
      <c r="E21" s="51"/>
      <c r="F21" s="52"/>
      <c r="G21" s="53"/>
      <c r="H21" s="25"/>
    </row>
    <row r="22" spans="1:9" ht="18" customHeight="1" x14ac:dyDescent="0.25">
      <c r="B22" s="25"/>
      <c r="C22" s="25"/>
      <c r="D22" s="53"/>
      <c r="E22" s="53"/>
      <c r="F22" s="54"/>
      <c r="G22" s="54"/>
      <c r="H22" s="25"/>
    </row>
    <row r="24" spans="1:9" ht="13.5" x14ac:dyDescent="0.2">
      <c r="A24" s="57" t="s">
        <v>23</v>
      </c>
      <c r="I24" s="91"/>
    </row>
    <row r="25" spans="1:9" ht="13.5" x14ac:dyDescent="0.2">
      <c r="A25" s="57" t="s">
        <v>27</v>
      </c>
    </row>
    <row r="26" spans="1:9" ht="13.5" x14ac:dyDescent="0.2">
      <c r="A26" s="57" t="s">
        <v>44</v>
      </c>
    </row>
    <row r="27" spans="1:9" x14ac:dyDescent="0.2">
      <c r="A27" s="58" t="s">
        <v>13</v>
      </c>
    </row>
    <row r="28" spans="1:9" x14ac:dyDescent="0.2">
      <c r="A28" s="58" t="s">
        <v>19</v>
      </c>
    </row>
  </sheetData>
  <phoneticPr fontId="0" type="noConversion"/>
  <printOptions horizontalCentered="1"/>
  <pageMargins left="0.5" right="0.25" top="1" bottom="0.25" header="0.5" footer="0"/>
  <pageSetup scale="98" fitToWidth="0" fitToHeight="0" orientation="landscape" r:id="rId1"/>
  <headerFooter>
    <oddHeader xml:space="preserve">&amp;L&amp;"Arial,Bold"The United Illuminating Company
Docket No. 06-10-22&amp;C&amp;"Arial,Bold"Attachment 1&amp;R&amp;"Arial,Bold"Page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showGridLines="0" showZeros="0" view="pageLayout" zoomScaleNormal="100" workbookViewId="0">
      <selection activeCell="C6" sqref="C6:E34"/>
    </sheetView>
  </sheetViews>
  <sheetFormatPr defaultColWidth="9.140625" defaultRowHeight="12.75" x14ac:dyDescent="0.2"/>
  <cols>
    <col min="1" max="1" width="4.42578125" style="1" customWidth="1"/>
    <col min="2" max="2" width="37.42578125" style="1" bestFit="1" customWidth="1"/>
    <col min="3" max="3" width="11.28515625" style="1" bestFit="1" customWidth="1"/>
    <col min="4" max="4" width="9.140625" style="1" bestFit="1" customWidth="1"/>
    <col min="5" max="5" width="8" style="1" customWidth="1"/>
    <col min="6" max="6" width="13.140625" style="1" bestFit="1" customWidth="1"/>
    <col min="7" max="16384" width="9.140625" style="2"/>
  </cols>
  <sheetData>
    <row r="1" spans="1:6" s="7" customFormat="1" ht="18" customHeight="1" x14ac:dyDescent="0.2">
      <c r="A1" s="11" t="s">
        <v>74</v>
      </c>
      <c r="B1" s="12"/>
      <c r="C1" s="12"/>
      <c r="D1" s="12"/>
      <c r="E1" s="12"/>
      <c r="F1" s="6"/>
    </row>
    <row r="2" spans="1:6" s="7" customFormat="1" ht="18" customHeight="1" x14ac:dyDescent="0.2">
      <c r="A2" s="8" t="str">
        <f>'Summary Load Customers '!A2</f>
        <v>Data as of September 30, 2022</v>
      </c>
      <c r="B2" s="12"/>
      <c r="C2" s="12"/>
      <c r="D2" s="12"/>
      <c r="E2" s="12"/>
      <c r="F2" s="13"/>
    </row>
    <row r="3" spans="1:6" s="7" customFormat="1" ht="18" customHeight="1" x14ac:dyDescent="0.2">
      <c r="A3" s="14"/>
      <c r="B3" s="5"/>
      <c r="C3" s="15"/>
      <c r="D3" s="15"/>
      <c r="E3" s="9"/>
      <c r="F3" s="9"/>
    </row>
    <row r="4" spans="1:6" x14ac:dyDescent="0.2">
      <c r="A4" s="16"/>
      <c r="B4" s="17"/>
      <c r="C4" s="3" t="s">
        <v>0</v>
      </c>
      <c r="D4" s="10"/>
      <c r="E4" s="10"/>
      <c r="F4" s="18"/>
    </row>
    <row r="5" spans="1:6" s="7" customFormat="1" ht="25.5" x14ac:dyDescent="0.2">
      <c r="A5" s="19"/>
      <c r="B5" s="4" t="s">
        <v>1</v>
      </c>
      <c r="C5" s="4" t="s">
        <v>2</v>
      </c>
      <c r="D5" s="4" t="s">
        <v>3</v>
      </c>
      <c r="E5" s="4" t="s">
        <v>4</v>
      </c>
      <c r="F5" s="4" t="s">
        <v>20</v>
      </c>
    </row>
    <row r="6" spans="1:6" x14ac:dyDescent="0.2">
      <c r="A6" s="93">
        <v>1</v>
      </c>
      <c r="B6" t="s">
        <v>45</v>
      </c>
      <c r="C6" s="110">
        <v>3</v>
      </c>
      <c r="D6" s="112">
        <v>1</v>
      </c>
      <c r="E6" s="113">
        <v>4</v>
      </c>
      <c r="F6" s="20">
        <f t="shared" ref="F6:F33" si="0">IF(E6=0,"",E6/$E$34)</f>
        <v>8.4159144943087377E-5</v>
      </c>
    </row>
    <row r="7" spans="1:6" ht="14.25" customHeight="1" x14ac:dyDescent="0.2">
      <c r="A7" s="93">
        <v>2</v>
      </c>
      <c r="B7" t="s">
        <v>52</v>
      </c>
      <c r="C7" s="111">
        <v>109</v>
      </c>
      <c r="D7">
        <v>2512</v>
      </c>
      <c r="E7" s="114">
        <v>2621</v>
      </c>
      <c r="F7" s="20">
        <f t="shared" si="0"/>
        <v>5.5145279723958003E-2</v>
      </c>
    </row>
    <row r="8" spans="1:6" ht="14.25" customHeight="1" x14ac:dyDescent="0.2">
      <c r="A8" s="93">
        <v>3</v>
      </c>
      <c r="B8" t="s">
        <v>53</v>
      </c>
      <c r="C8" s="111">
        <v>4</v>
      </c>
      <c r="D8">
        <v>162</v>
      </c>
      <c r="E8" s="114">
        <v>166</v>
      </c>
      <c r="F8" s="20">
        <f t="shared" si="0"/>
        <v>3.492604515138126E-3</v>
      </c>
    </row>
    <row r="9" spans="1:6" ht="14.25" customHeight="1" x14ac:dyDescent="0.2">
      <c r="A9" s="93">
        <v>4</v>
      </c>
      <c r="B9" t="s">
        <v>54</v>
      </c>
      <c r="C9" s="111">
        <v>795</v>
      </c>
      <c r="D9">
        <v>4795</v>
      </c>
      <c r="E9" s="114">
        <v>5590</v>
      </c>
      <c r="F9" s="20">
        <f t="shared" si="0"/>
        <v>0.11761240505796461</v>
      </c>
    </row>
    <row r="10" spans="1:6" ht="14.25" customHeight="1" x14ac:dyDescent="0.2">
      <c r="A10" s="93">
        <v>5</v>
      </c>
      <c r="B10" t="s">
        <v>55</v>
      </c>
      <c r="C10" s="111">
        <v>13272</v>
      </c>
      <c r="D10">
        <v>1006</v>
      </c>
      <c r="E10" s="114">
        <v>14278</v>
      </c>
      <c r="F10" s="20">
        <f t="shared" si="0"/>
        <v>0.30040606787435042</v>
      </c>
    </row>
    <row r="11" spans="1:6" ht="14.25" customHeight="1" x14ac:dyDescent="0.2">
      <c r="A11" s="93">
        <v>6</v>
      </c>
      <c r="B11" t="s">
        <v>50</v>
      </c>
      <c r="C11" s="111">
        <v>220</v>
      </c>
      <c r="D11">
        <v>1563</v>
      </c>
      <c r="E11" s="114">
        <v>1783</v>
      </c>
      <c r="F11" s="20">
        <f t="shared" si="0"/>
        <v>3.7513938858381196E-2</v>
      </c>
    </row>
    <row r="12" spans="1:6" ht="14.25" customHeight="1" x14ac:dyDescent="0.2">
      <c r="A12" s="93">
        <v>7</v>
      </c>
      <c r="B12" t="s">
        <v>56</v>
      </c>
      <c r="C12" s="111">
        <v>4369</v>
      </c>
      <c r="D12">
        <v>1110</v>
      </c>
      <c r="E12" s="114">
        <v>5479</v>
      </c>
      <c r="F12" s="20">
        <f t="shared" si="0"/>
        <v>0.11527698878579394</v>
      </c>
    </row>
    <row r="13" spans="1:6" ht="14.25" customHeight="1" x14ac:dyDescent="0.2">
      <c r="A13" s="93">
        <v>8</v>
      </c>
      <c r="B13" t="s">
        <v>76</v>
      </c>
      <c r="C13" s="111">
        <v>604</v>
      </c>
      <c r="D13">
        <v>347</v>
      </c>
      <c r="E13" s="114">
        <v>951</v>
      </c>
      <c r="F13" s="20">
        <f t="shared" si="0"/>
        <v>2.0008836710219025E-2</v>
      </c>
    </row>
    <row r="14" spans="1:6" ht="14.25" customHeight="1" x14ac:dyDescent="0.2">
      <c r="A14" s="93">
        <v>9</v>
      </c>
      <c r="B14" t="s">
        <v>57</v>
      </c>
      <c r="C14" s="111">
        <v>14</v>
      </c>
      <c r="D14">
        <v>165</v>
      </c>
      <c r="E14" s="114">
        <v>179</v>
      </c>
      <c r="F14" s="20">
        <f t="shared" si="0"/>
        <v>3.7661217362031604E-3</v>
      </c>
    </row>
    <row r="15" spans="1:6" ht="14.25" customHeight="1" x14ac:dyDescent="0.2">
      <c r="A15" s="93">
        <v>10</v>
      </c>
      <c r="B15" t="s">
        <v>58</v>
      </c>
      <c r="C15" s="111">
        <v>31</v>
      </c>
      <c r="D15">
        <v>8</v>
      </c>
      <c r="E15" s="114">
        <v>39</v>
      </c>
      <c r="F15" s="20">
        <f t="shared" si="0"/>
        <v>8.205516631951019E-4</v>
      </c>
    </row>
    <row r="16" spans="1:6" ht="14.25" customHeight="1" x14ac:dyDescent="0.2">
      <c r="A16" s="93">
        <v>11</v>
      </c>
      <c r="B16" t="s">
        <v>59</v>
      </c>
      <c r="C16" s="111">
        <v>1</v>
      </c>
      <c r="D16"/>
      <c r="E16" s="114">
        <v>1</v>
      </c>
      <c r="F16" s="20">
        <f t="shared" si="0"/>
        <v>2.1039786235771844E-5</v>
      </c>
    </row>
    <row r="17" spans="1:6" ht="14.25" customHeight="1" x14ac:dyDescent="0.2">
      <c r="A17" s="93">
        <v>12</v>
      </c>
      <c r="B17" t="s">
        <v>60</v>
      </c>
      <c r="C17" s="111">
        <v>687</v>
      </c>
      <c r="D17">
        <v>1182</v>
      </c>
      <c r="E17" s="114">
        <v>1869</v>
      </c>
      <c r="F17" s="20">
        <f t="shared" si="0"/>
        <v>3.9323360474657579E-2</v>
      </c>
    </row>
    <row r="18" spans="1:6" ht="14.25" customHeight="1" x14ac:dyDescent="0.2">
      <c r="A18" s="93">
        <v>13</v>
      </c>
      <c r="B18" t="s">
        <v>61</v>
      </c>
      <c r="C18" s="111">
        <v>155</v>
      </c>
      <c r="D18">
        <v>173</v>
      </c>
      <c r="E18" s="114">
        <v>328</v>
      </c>
      <c r="F18" s="20">
        <f t="shared" si="0"/>
        <v>6.9010498853331647E-3</v>
      </c>
    </row>
    <row r="19" spans="1:6" ht="14.25" customHeight="1" x14ac:dyDescent="0.2">
      <c r="A19" s="93">
        <v>14</v>
      </c>
      <c r="B19" t="s">
        <v>62</v>
      </c>
      <c r="C19" s="111">
        <v>1458</v>
      </c>
      <c r="D19">
        <v>127</v>
      </c>
      <c r="E19" s="114">
        <v>1585</v>
      </c>
      <c r="F19" s="20">
        <f t="shared" si="0"/>
        <v>3.3348061183698374E-2</v>
      </c>
    </row>
    <row r="20" spans="1:6" ht="14.25" customHeight="1" x14ac:dyDescent="0.2">
      <c r="A20" s="93">
        <v>15</v>
      </c>
      <c r="B20" t="s">
        <v>63</v>
      </c>
      <c r="C20" s="111">
        <v>2</v>
      </c>
      <c r="D20">
        <v>161</v>
      </c>
      <c r="E20" s="114">
        <v>163</v>
      </c>
      <c r="F20" s="20">
        <f t="shared" si="0"/>
        <v>3.4294851564308105E-3</v>
      </c>
    </row>
    <row r="21" spans="1:6" ht="14.25" customHeight="1" x14ac:dyDescent="0.2">
      <c r="A21" s="93">
        <v>16</v>
      </c>
      <c r="B21" t="s">
        <v>64</v>
      </c>
      <c r="C21" s="111">
        <v>70</v>
      </c>
      <c r="D21">
        <v>745</v>
      </c>
      <c r="E21" s="114">
        <v>815</v>
      </c>
      <c r="F21" s="20">
        <f t="shared" si="0"/>
        <v>1.7147425782154054E-2</v>
      </c>
    </row>
    <row r="22" spans="1:6" ht="14.25" customHeight="1" x14ac:dyDescent="0.2">
      <c r="A22" s="93">
        <v>17</v>
      </c>
      <c r="B22" t="s">
        <v>65</v>
      </c>
      <c r="C22" s="111">
        <v>1993</v>
      </c>
      <c r="D22">
        <v>72</v>
      </c>
      <c r="E22" s="114">
        <v>2065</v>
      </c>
      <c r="F22" s="20">
        <f t="shared" si="0"/>
        <v>4.3447158576868858E-2</v>
      </c>
    </row>
    <row r="23" spans="1:6" ht="14.25" customHeight="1" x14ac:dyDescent="0.2">
      <c r="A23" s="93">
        <v>18</v>
      </c>
      <c r="B23" t="s">
        <v>66</v>
      </c>
      <c r="C23" s="111">
        <v>74</v>
      </c>
      <c r="D23">
        <v>14</v>
      </c>
      <c r="E23" s="114">
        <v>88</v>
      </c>
      <c r="F23" s="20">
        <f t="shared" si="0"/>
        <v>1.8515011887479224E-3</v>
      </c>
    </row>
    <row r="24" spans="1:6" ht="14.25" customHeight="1" x14ac:dyDescent="0.2">
      <c r="A24" s="93">
        <v>19</v>
      </c>
      <c r="B24" t="s">
        <v>67</v>
      </c>
      <c r="C24" s="111">
        <v>4</v>
      </c>
      <c r="D24"/>
      <c r="E24" s="114">
        <v>4</v>
      </c>
      <c r="F24" s="20">
        <f t="shared" si="0"/>
        <v>8.4159144943087377E-5</v>
      </c>
    </row>
    <row r="25" spans="1:6" ht="14.25" customHeight="1" x14ac:dyDescent="0.2">
      <c r="A25" s="93">
        <v>20</v>
      </c>
      <c r="B25" t="s">
        <v>68</v>
      </c>
      <c r="C25" s="111">
        <v>2</v>
      </c>
      <c r="D25">
        <v>6</v>
      </c>
      <c r="E25" s="114">
        <v>8</v>
      </c>
      <c r="F25" s="20">
        <f t="shared" si="0"/>
        <v>1.6831828988617475E-4</v>
      </c>
    </row>
    <row r="26" spans="1:6" ht="14.25" customHeight="1" x14ac:dyDescent="0.2">
      <c r="A26" s="93">
        <v>21</v>
      </c>
      <c r="B26" t="s">
        <v>69</v>
      </c>
      <c r="C26" s="111"/>
      <c r="D26">
        <v>11</v>
      </c>
      <c r="E26" s="114">
        <v>11</v>
      </c>
      <c r="F26" s="20">
        <f t="shared" si="0"/>
        <v>2.314376485934903E-4</v>
      </c>
    </row>
    <row r="27" spans="1:6" ht="14.25" customHeight="1" x14ac:dyDescent="0.2">
      <c r="A27" s="93">
        <v>22</v>
      </c>
      <c r="B27" t="s">
        <v>49</v>
      </c>
      <c r="C27" s="111">
        <v>40</v>
      </c>
      <c r="D27">
        <v>54</v>
      </c>
      <c r="E27" s="114">
        <v>94</v>
      </c>
      <c r="F27" s="20">
        <f t="shared" si="0"/>
        <v>1.9777399061625535E-3</v>
      </c>
    </row>
    <row r="28" spans="1:6" ht="14.25" customHeight="1" x14ac:dyDescent="0.2">
      <c r="A28" s="93">
        <v>23</v>
      </c>
      <c r="B28" t="s">
        <v>70</v>
      </c>
      <c r="C28" s="111">
        <v>4804</v>
      </c>
      <c r="D28">
        <v>150</v>
      </c>
      <c r="E28" s="114">
        <v>4954</v>
      </c>
      <c r="F28" s="20">
        <f t="shared" si="0"/>
        <v>0.10423110101201372</v>
      </c>
    </row>
    <row r="29" spans="1:6" ht="14.25" customHeight="1" x14ac:dyDescent="0.2">
      <c r="A29" s="93">
        <v>24</v>
      </c>
      <c r="B29" t="s">
        <v>71</v>
      </c>
      <c r="C29" s="111">
        <v>2199</v>
      </c>
      <c r="D29">
        <v>150</v>
      </c>
      <c r="E29" s="114">
        <v>2349</v>
      </c>
      <c r="F29" s="20">
        <f t="shared" si="0"/>
        <v>4.9422457867828062E-2</v>
      </c>
    </row>
    <row r="30" spans="1:6" ht="14.25" customHeight="1" x14ac:dyDescent="0.2">
      <c r="A30" s="93">
        <v>25</v>
      </c>
      <c r="B30" t="s">
        <v>73</v>
      </c>
      <c r="C30" s="111">
        <v>27</v>
      </c>
      <c r="D30">
        <v>16</v>
      </c>
      <c r="E30" s="114">
        <v>43</v>
      </c>
      <c r="F30" s="20">
        <f t="shared" si="0"/>
        <v>9.0471080813818926E-4</v>
      </c>
    </row>
    <row r="31" spans="1:6" ht="14.25" customHeight="1" x14ac:dyDescent="0.2">
      <c r="A31" s="93">
        <v>26</v>
      </c>
      <c r="B31" t="s">
        <v>72</v>
      </c>
      <c r="C31" s="111">
        <v>1547</v>
      </c>
      <c r="D31">
        <v>295</v>
      </c>
      <c r="E31" s="114">
        <v>1842</v>
      </c>
      <c r="F31" s="20">
        <f t="shared" si="0"/>
        <v>3.8755286246291737E-2</v>
      </c>
    </row>
    <row r="32" spans="1:6" ht="14.25" customHeight="1" x14ac:dyDescent="0.2">
      <c r="A32" s="93">
        <v>27</v>
      </c>
      <c r="B32" t="s">
        <v>75</v>
      </c>
      <c r="C32" s="111">
        <v>3</v>
      </c>
      <c r="D32">
        <v>199</v>
      </c>
      <c r="E32" s="114">
        <v>202</v>
      </c>
      <c r="F32" s="20">
        <f t="shared" si="0"/>
        <v>4.2500368196259127E-3</v>
      </c>
    </row>
    <row r="33" spans="1:6" ht="14.25" customHeight="1" x14ac:dyDescent="0.2">
      <c r="A33" s="93">
        <v>28</v>
      </c>
      <c r="B33" t="s">
        <v>77</v>
      </c>
      <c r="C33" s="111"/>
      <c r="D33">
        <v>18</v>
      </c>
      <c r="E33" s="114">
        <v>18</v>
      </c>
      <c r="F33" s="20">
        <f t="shared" si="0"/>
        <v>3.7871615224389319E-4</v>
      </c>
    </row>
    <row r="34" spans="1:6" ht="14.25" customHeight="1" x14ac:dyDescent="0.2">
      <c r="A34" s="93"/>
      <c r="B34" s="101" t="s">
        <v>51</v>
      </c>
      <c r="C34" s="115">
        <v>32487</v>
      </c>
      <c r="D34" s="116">
        <v>15042</v>
      </c>
      <c r="E34" s="117">
        <v>47529</v>
      </c>
      <c r="F34" s="20">
        <f>SUM(F6:F33)</f>
        <v>0.99999999999999989</v>
      </c>
    </row>
    <row r="35" spans="1:6" x14ac:dyDescent="0.2">
      <c r="A35" s="94"/>
      <c r="B35" s="98"/>
      <c r="C35" s="99"/>
      <c r="D35" s="99"/>
      <c r="E35" s="99"/>
      <c r="F35" s="100"/>
    </row>
    <row r="36" spans="1:6" x14ac:dyDescent="0.2">
      <c r="A36" s="1" t="s">
        <v>18</v>
      </c>
      <c r="B36" s="92"/>
    </row>
    <row r="37" spans="1:6" x14ac:dyDescent="0.2">
      <c r="A37" s="1" t="s">
        <v>17</v>
      </c>
    </row>
    <row r="38" spans="1:6" x14ac:dyDescent="0.2">
      <c r="A38" s="1" t="s">
        <v>13</v>
      </c>
    </row>
  </sheetData>
  <sortState xmlns:xlrd2="http://schemas.microsoft.com/office/spreadsheetml/2017/richdata2" ref="B6:E33">
    <sortCondition ref="B5"/>
  </sortState>
  <phoneticPr fontId="0" type="noConversion"/>
  <printOptions horizontalCentered="1"/>
  <pageMargins left="0.75" right="0.5" top="1.25" bottom="0.25" header="0.75" footer="0"/>
  <pageSetup fitToWidth="0" orientation="portrait" r:id="rId1"/>
  <headerFooter>
    <oddHeader>&amp;L&amp;"Arial,Bold"The United Illuminating Company
Docket 06-10-22&amp;C&amp;"Arial,Bold"Attachment 1&amp;R&amp;"Arial,Bold"Page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view="pageLayout" zoomScaleNormal="100" workbookViewId="0">
      <selection activeCell="J3" sqref="J3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7" customFormat="1" ht="15.75" x14ac:dyDescent="0.2">
      <c r="A1" s="121" t="s">
        <v>43</v>
      </c>
      <c r="B1" s="121"/>
      <c r="C1" s="121"/>
      <c r="D1" s="121"/>
      <c r="E1" s="121"/>
      <c r="F1" s="121"/>
      <c r="G1" s="121"/>
      <c r="H1" s="24"/>
      <c r="I1" s="24"/>
    </row>
    <row r="2" spans="1:9" s="7" customFormat="1" ht="15.75" x14ac:dyDescent="0.2">
      <c r="A2" s="121" t="s">
        <v>42</v>
      </c>
      <c r="B2" s="121"/>
      <c r="C2" s="121"/>
      <c r="D2" s="121"/>
      <c r="E2" s="121"/>
      <c r="F2" s="121"/>
      <c r="G2" s="121"/>
      <c r="H2" s="24"/>
      <c r="I2" s="24"/>
    </row>
    <row r="3" spans="1:9" s="7" customFormat="1" x14ac:dyDescent="0.2">
      <c r="A3" s="122" t="str">
        <f>'Summary Load Customers '!A2</f>
        <v>Data as of September 30, 2022</v>
      </c>
      <c r="B3" s="122"/>
      <c r="C3" s="122"/>
      <c r="D3" s="122"/>
      <c r="E3" s="122"/>
      <c r="F3" s="122"/>
      <c r="G3" s="122"/>
      <c r="H3" s="24"/>
      <c r="I3" s="24"/>
    </row>
    <row r="4" spans="1:9" s="7" customFormat="1" x14ac:dyDescent="0.2">
      <c r="A4" s="2"/>
      <c r="B4" s="24"/>
      <c r="C4" s="24"/>
      <c r="D4" s="61"/>
      <c r="E4" s="61"/>
      <c r="F4" s="61"/>
      <c r="G4" s="24"/>
      <c r="H4" s="24"/>
      <c r="I4" s="24"/>
    </row>
    <row r="5" spans="1:9" s="7" customFormat="1" ht="15.75" x14ac:dyDescent="0.25">
      <c r="A5" s="119" t="s">
        <v>36</v>
      </c>
      <c r="B5" s="119"/>
      <c r="C5" s="119"/>
      <c r="D5" s="119"/>
      <c r="E5" s="119"/>
      <c r="F5" s="119"/>
      <c r="G5" s="119"/>
      <c r="H5" s="25"/>
      <c r="I5" s="24"/>
    </row>
    <row r="6" spans="1:9" s="7" customFormat="1" ht="15" x14ac:dyDescent="0.25">
      <c r="A6" s="109"/>
      <c r="B6" s="108"/>
      <c r="C6" s="108"/>
      <c r="D6" s="53"/>
      <c r="E6" s="53"/>
      <c r="F6" s="54"/>
      <c r="G6" s="54"/>
      <c r="H6" s="55"/>
      <c r="I6" s="24"/>
    </row>
    <row r="7" spans="1:9" ht="24" customHeight="1" x14ac:dyDescent="0.2">
      <c r="A7" s="120" t="s">
        <v>47</v>
      </c>
      <c r="B7" s="120"/>
      <c r="C7" s="120"/>
      <c r="D7" s="120"/>
      <c r="E7" s="120"/>
      <c r="F7" s="120"/>
      <c r="G7" s="120"/>
      <c r="H7" s="25"/>
    </row>
    <row r="8" spans="1:9" ht="15" x14ac:dyDescent="0.2">
      <c r="A8" s="37"/>
      <c r="B8" s="27"/>
      <c r="C8" s="27"/>
      <c r="D8" s="27"/>
      <c r="E8" s="27"/>
      <c r="F8" s="27"/>
      <c r="G8" s="47"/>
      <c r="H8" s="23"/>
      <c r="I8" s="56"/>
    </row>
    <row r="9" spans="1:9" ht="15" x14ac:dyDescent="0.25">
      <c r="A9" s="34"/>
      <c r="B9" s="29" t="s">
        <v>2</v>
      </c>
      <c r="C9" s="48"/>
      <c r="D9" s="29" t="s">
        <v>21</v>
      </c>
      <c r="E9" s="49"/>
      <c r="F9" s="29" t="s">
        <v>28</v>
      </c>
      <c r="G9" s="31"/>
    </row>
    <row r="10" spans="1:9" ht="15" x14ac:dyDescent="0.2">
      <c r="A10" s="37" t="s">
        <v>38</v>
      </c>
      <c r="B10" s="35" t="s">
        <v>10</v>
      </c>
      <c r="C10" s="36" t="s">
        <v>15</v>
      </c>
      <c r="D10" s="35" t="str">
        <f>B10</f>
        <v>Customers</v>
      </c>
      <c r="E10" s="36" t="s">
        <v>15</v>
      </c>
      <c r="F10" s="35" t="str">
        <f>B10</f>
        <v>Customers</v>
      </c>
      <c r="G10" s="36" t="s">
        <v>14</v>
      </c>
      <c r="I10" s="24"/>
    </row>
    <row r="11" spans="1:9" ht="14.25" x14ac:dyDescent="0.2">
      <c r="B11" s="39">
        <f>REC_programs_detail!B20</f>
        <v>2095</v>
      </c>
      <c r="C11" s="40">
        <f>IF(B11=0,0,B11/'Summary Load Customers '!$B$18)</f>
        <v>6.7981516815284974E-3</v>
      </c>
      <c r="D11" s="39">
        <f>REC_programs_detail!C20</f>
        <v>26</v>
      </c>
      <c r="E11" s="40">
        <f>IF(D11=0,0,D11/('Summary Load Customers '!$D$18+'Summary Load Customers '!$F$18))</f>
        <v>6.7687181089242949E-4</v>
      </c>
      <c r="F11" s="39">
        <f>B11+D11</f>
        <v>2121</v>
      </c>
      <c r="G11" s="40">
        <f>IF(F11=0,0,F11/'Summary Load Customers '!$H$18)</f>
        <v>6.1197285506543872E-3</v>
      </c>
    </row>
    <row r="12" spans="1:9" ht="15" x14ac:dyDescent="0.25">
      <c r="A12" s="90" t="str">
        <f>"As the above table shows, "&amp;TEXT(F11,"0,000")&amp;" of UI's customers, or "&amp;TEXT(G11,"0.0%")&amp;" are participating in the CTCleanEnergyOptions Program."</f>
        <v>As the above table shows, 2,121 of UI's customers, or 0.6% are participating in the CTCleanEnergyOptions Program.</v>
      </c>
      <c r="G12" s="46"/>
      <c r="H12" s="25"/>
    </row>
    <row r="13" spans="1:9" ht="15" x14ac:dyDescent="0.25">
      <c r="G13" s="46"/>
      <c r="H13" s="25"/>
    </row>
    <row r="14" spans="1:9" ht="15" x14ac:dyDescent="0.25">
      <c r="A14" s="107" t="s">
        <v>37</v>
      </c>
      <c r="G14" s="46"/>
      <c r="H14" s="25"/>
    </row>
    <row r="15" spans="1:9" ht="15" x14ac:dyDescent="0.2">
      <c r="A15" s="37"/>
      <c r="B15" s="27"/>
      <c r="C15" s="27"/>
      <c r="D15" s="27"/>
      <c r="E15" s="27"/>
      <c r="F15" s="27"/>
      <c r="G15" s="47"/>
      <c r="H15" s="23"/>
    </row>
    <row r="16" spans="1:9" ht="15" x14ac:dyDescent="0.25">
      <c r="A16" s="34"/>
      <c r="B16" s="29" t="s">
        <v>2</v>
      </c>
      <c r="C16" s="48"/>
      <c r="D16" s="29" t="s">
        <v>21</v>
      </c>
      <c r="E16" s="49"/>
      <c r="F16" s="29" t="s">
        <v>28</v>
      </c>
      <c r="G16" s="31"/>
    </row>
    <row r="17" spans="1:9" ht="15" x14ac:dyDescent="0.2">
      <c r="A17" s="37" t="s">
        <v>39</v>
      </c>
      <c r="B17" s="35" t="s">
        <v>10</v>
      </c>
      <c r="C17" s="36" t="s">
        <v>15</v>
      </c>
      <c r="D17" s="35" t="str">
        <f>B17</f>
        <v>Customers</v>
      </c>
      <c r="E17" s="36" t="s">
        <v>15</v>
      </c>
      <c r="F17" s="35" t="str">
        <f>B17</f>
        <v>Customers</v>
      </c>
      <c r="G17" s="36" t="s">
        <v>14</v>
      </c>
      <c r="I17" s="24"/>
    </row>
    <row r="18" spans="1:9" ht="14.25" x14ac:dyDescent="0.2">
      <c r="B18" s="39">
        <f>REC_programs_detail!B26</f>
        <v>499</v>
      </c>
      <c r="C18" s="40">
        <f>IF(B18=0,0,B18/'Summary Load Customers '!$B$18)</f>
        <v>1.6192256272471218E-3</v>
      </c>
      <c r="D18" s="39">
        <f>REC_programs_detail!C26</f>
        <v>55</v>
      </c>
      <c r="E18" s="40">
        <f>IF(D18=0,0,D18/('Summary Load Customers '!$D$18+'Summary Load Customers '!$F$18))</f>
        <v>1.4318442153493699E-3</v>
      </c>
      <c r="F18" s="39">
        <f>B18+D18</f>
        <v>554</v>
      </c>
      <c r="G18" s="40">
        <f>IF(F18=0,0,F18/'Summary Load Customers '!$H$18)</f>
        <v>1.5984580938531495E-3</v>
      </c>
    </row>
    <row r="19" spans="1:9" ht="14.25" x14ac:dyDescent="0.2">
      <c r="A19" s="90" t="str">
        <f>"As the above table shows, "&amp;TEXT(F18,"0,000")&amp;" of UI's customers, or "&amp;TEXT(G18,"0.0%")&amp;" are participating in the REC only program."</f>
        <v>As the above table shows, 0,554 of UI's customers, or 0.2% are participating in the REC only program.</v>
      </c>
      <c r="B19" s="45"/>
      <c r="C19" s="44"/>
      <c r="D19" s="45"/>
      <c r="E19" s="44"/>
      <c r="F19" s="45"/>
      <c r="G19" s="44"/>
      <c r="H19" s="45"/>
    </row>
    <row r="20" spans="1:9" ht="14.25" x14ac:dyDescent="0.2">
      <c r="A20" s="42"/>
      <c r="B20" s="45"/>
      <c r="C20" s="44"/>
      <c r="D20" s="45"/>
      <c r="E20" s="44"/>
      <c r="F20" s="45"/>
      <c r="G20" s="44"/>
      <c r="H20" s="45"/>
    </row>
    <row r="21" spans="1:9" ht="15" x14ac:dyDescent="0.25">
      <c r="A21" s="118" t="s">
        <v>41</v>
      </c>
      <c r="B21" s="118"/>
      <c r="C21" s="118"/>
      <c r="D21" s="118"/>
      <c r="E21" s="118"/>
      <c r="F21" s="118"/>
      <c r="G21" s="118"/>
      <c r="I21" s="44"/>
    </row>
    <row r="22" spans="1:9" ht="15" x14ac:dyDescent="0.2">
      <c r="A22" s="37"/>
      <c r="B22" s="27"/>
      <c r="C22" s="27"/>
      <c r="D22" s="27"/>
      <c r="E22" s="27"/>
      <c r="F22" s="27"/>
      <c r="G22" s="47"/>
      <c r="H22" s="23"/>
      <c r="I22" s="44"/>
    </row>
    <row r="23" spans="1:9" ht="15" x14ac:dyDescent="0.25">
      <c r="A23" s="34"/>
      <c r="B23" s="29" t="s">
        <v>2</v>
      </c>
      <c r="C23" s="48"/>
      <c r="D23" s="29" t="s">
        <v>21</v>
      </c>
      <c r="E23" s="49"/>
      <c r="F23" s="29" t="s">
        <v>28</v>
      </c>
      <c r="G23" s="31"/>
    </row>
    <row r="24" spans="1:9" ht="15" x14ac:dyDescent="0.2">
      <c r="A24" s="37" t="s">
        <v>40</v>
      </c>
      <c r="B24" s="35" t="s">
        <v>10</v>
      </c>
      <c r="C24" s="36" t="s">
        <v>15</v>
      </c>
      <c r="D24" s="35" t="str">
        <f>B24</f>
        <v>Customers</v>
      </c>
      <c r="E24" s="36" t="s">
        <v>15</v>
      </c>
      <c r="F24" s="35" t="str">
        <f>B24</f>
        <v>Customers</v>
      </c>
      <c r="G24" s="36" t="s">
        <v>14</v>
      </c>
      <c r="I24" s="24"/>
    </row>
    <row r="25" spans="1:9" ht="14.25" x14ac:dyDescent="0.2">
      <c r="B25" s="39">
        <f>B11+B18</f>
        <v>2594</v>
      </c>
      <c r="C25" s="40">
        <f>IF(B25=0,0,B25/'Summary Load Customers '!$B$18)</f>
        <v>8.4173773087756181E-3</v>
      </c>
      <c r="D25" s="39">
        <f>D11+D18</f>
        <v>81</v>
      </c>
      <c r="E25" s="40">
        <f>IF(D25=0,0,D25/('Summary Load Customers '!$D$18+'Summary Load Customers '!$F$18))</f>
        <v>2.1087160262417996E-3</v>
      </c>
      <c r="F25" s="39">
        <f>B25+D25</f>
        <v>2675</v>
      </c>
      <c r="G25" s="40">
        <f>IF(F25=0,0,F25/'Summary Load Customers '!$H$18)</f>
        <v>7.718186644507536E-3</v>
      </c>
    </row>
    <row r="26" spans="1:9" ht="15" x14ac:dyDescent="0.25">
      <c r="A26" s="90" t="str">
        <f>"As the above table shows, "&amp;TEXT(F25,"0,000")&amp;" of UI's customers, or "&amp;TEXT(G25,"0.0%")&amp;" are participating in the combined REC programs."</f>
        <v>As the above table shows, 2,675 of UI's customers, or 0.8% are participating in the combined REC programs.</v>
      </c>
      <c r="G26" s="46"/>
      <c r="H26" s="25"/>
    </row>
    <row r="27" spans="1:9" ht="15" x14ac:dyDescent="0.25">
      <c r="G27" s="46"/>
      <c r="H27" s="25"/>
    </row>
    <row r="28" spans="1:9" ht="13.5" x14ac:dyDescent="0.2">
      <c r="A28" s="57" t="s">
        <v>27</v>
      </c>
    </row>
    <row r="29" spans="1:9" ht="13.5" x14ac:dyDescent="0.2">
      <c r="A29" s="57"/>
    </row>
    <row r="30" spans="1:9" ht="13.5" x14ac:dyDescent="0.2">
      <c r="A30" s="57" t="s">
        <v>48</v>
      </c>
    </row>
    <row r="31" spans="1:9" x14ac:dyDescent="0.2">
      <c r="A31" s="58" t="s">
        <v>46</v>
      </c>
    </row>
    <row r="33" spans="1:1" x14ac:dyDescent="0.2">
      <c r="A33" s="58" t="s">
        <v>13</v>
      </c>
    </row>
  </sheetData>
  <mergeCells count="6">
    <mergeCell ref="A21:G21"/>
    <mergeCell ref="A5:G5"/>
    <mergeCell ref="A7:G7"/>
    <mergeCell ref="A1:G1"/>
    <mergeCell ref="A2:G2"/>
    <mergeCell ref="A3:G3"/>
  </mergeCells>
  <phoneticPr fontId="10" type="noConversion"/>
  <printOptions horizontalCentered="1"/>
  <pageMargins left="0.75" right="0.5" top="1.25" bottom="0.25" header="0.75" footer="0"/>
  <pageSetup fitToWidth="0" orientation="landscape" r:id="rId1"/>
  <headerFooter>
    <oddHeader xml:space="preserve">&amp;L&amp;"Arial,Bold"The United Illuminating Company
Docket No. 06-10-22&amp;C&amp;"Arial,Bold"Attachment 1&amp;R&amp;"Arial,Bold"Page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Zeros="0" view="pageLayout" zoomScaleNormal="110" workbookViewId="0">
      <selection activeCell="B18" sqref="B18"/>
    </sheetView>
  </sheetViews>
  <sheetFormatPr defaultColWidth="9.140625" defaultRowHeight="11.25" x14ac:dyDescent="0.2"/>
  <cols>
    <col min="1" max="1" width="28" style="65" customWidth="1"/>
    <col min="2" max="3" width="19.140625" style="65" customWidth="1"/>
    <col min="4" max="4" width="20.28515625" style="65" customWidth="1"/>
    <col min="5" max="5" width="7.140625" style="65" customWidth="1"/>
    <col min="6" max="6" width="12.5703125" style="65" customWidth="1"/>
    <col min="7" max="7" width="10.42578125" style="65" customWidth="1"/>
    <col min="8" max="16384" width="9.140625" style="65"/>
  </cols>
  <sheetData>
    <row r="1" spans="1:9" s="64" customFormat="1" ht="15" customHeight="1" x14ac:dyDescent="0.2">
      <c r="A1" s="123" t="s">
        <v>29</v>
      </c>
      <c r="B1" s="123"/>
      <c r="C1" s="123"/>
      <c r="D1" s="123"/>
      <c r="E1" s="62"/>
      <c r="F1" s="62"/>
      <c r="G1" s="63"/>
    </row>
    <row r="2" spans="1:9" s="7" customFormat="1" ht="18" customHeight="1" x14ac:dyDescent="0.2">
      <c r="A2" s="123" t="str">
        <f>'Summary Load Customers '!A2</f>
        <v>Data as of September 30, 2022</v>
      </c>
      <c r="B2" s="123"/>
      <c r="C2" s="123"/>
      <c r="D2" s="123"/>
      <c r="E2" s="22"/>
      <c r="F2" s="22"/>
      <c r="G2" s="23"/>
      <c r="H2" s="24"/>
      <c r="I2" s="24"/>
    </row>
    <row r="3" spans="1:9" s="64" customFormat="1" ht="15" customHeight="1" x14ac:dyDescent="0.2">
      <c r="A3" s="65"/>
      <c r="B3" s="65"/>
      <c r="C3" s="66"/>
      <c r="D3" s="66"/>
      <c r="E3" s="62"/>
      <c r="F3" s="62"/>
      <c r="G3" s="63"/>
    </row>
    <row r="4" spans="1:9" s="64" customFormat="1" ht="22.5" x14ac:dyDescent="0.2">
      <c r="A4" s="67" t="s">
        <v>31</v>
      </c>
      <c r="B4" s="68" t="s">
        <v>2</v>
      </c>
      <c r="C4" s="67" t="s">
        <v>3</v>
      </c>
      <c r="D4" s="67" t="s">
        <v>28</v>
      </c>
      <c r="E4" s="62"/>
      <c r="F4" s="62"/>
      <c r="G4" s="63"/>
    </row>
    <row r="5" spans="1:9" s="64" customFormat="1" ht="15" customHeight="1" x14ac:dyDescent="0.2">
      <c r="A5" s="73" t="s">
        <v>30</v>
      </c>
      <c r="B5" s="74"/>
      <c r="C5" s="75"/>
      <c r="D5" s="76">
        <f>IF(C5=0,0,C5)</f>
        <v>0</v>
      </c>
      <c r="E5" s="62"/>
      <c r="F5" s="62"/>
      <c r="G5" s="63"/>
    </row>
    <row r="6" spans="1:9" x14ac:dyDescent="0.2">
      <c r="A6" s="73" t="s">
        <v>11</v>
      </c>
      <c r="B6" s="75">
        <v>92</v>
      </c>
      <c r="C6" s="75">
        <v>2</v>
      </c>
      <c r="D6" s="76">
        <f>SUM(B6:C6)</f>
        <v>94</v>
      </c>
      <c r="E6" s="66"/>
      <c r="F6" s="66"/>
      <c r="G6" s="66"/>
    </row>
    <row r="7" spans="1:9" s="72" customFormat="1" x14ac:dyDescent="0.2">
      <c r="A7" s="73" t="s">
        <v>12</v>
      </c>
      <c r="B7" s="75">
        <v>2003</v>
      </c>
      <c r="C7" s="75">
        <v>24</v>
      </c>
      <c r="D7" s="76">
        <f>SUM(B7:C7)</f>
        <v>2027</v>
      </c>
      <c r="E7" s="69"/>
      <c r="F7" s="69"/>
      <c r="G7" s="70"/>
      <c r="H7" s="71"/>
    </row>
    <row r="8" spans="1:9" x14ac:dyDescent="0.2">
      <c r="A8" s="81" t="s">
        <v>4</v>
      </c>
      <c r="B8" s="82">
        <f>IF(B6+B7=0,0,B6+B7)</f>
        <v>2095</v>
      </c>
      <c r="C8" s="82">
        <f>IF(SUM(C5:C7)=0,0,SUM(C5:C7))</f>
        <v>26</v>
      </c>
      <c r="D8" s="82">
        <f>IF(SUM(D5:D7)=0,0,SUM(D5:D7))</f>
        <v>2121</v>
      </c>
      <c r="E8" s="66"/>
      <c r="F8" s="66"/>
      <c r="G8" s="77"/>
      <c r="H8" s="66"/>
    </row>
    <row r="9" spans="1:9" x14ac:dyDescent="0.2">
      <c r="A9" s="66"/>
      <c r="B9" s="83"/>
      <c r="C9" s="83"/>
      <c r="D9" s="83"/>
      <c r="E9" s="78"/>
      <c r="F9" s="78"/>
      <c r="G9" s="77"/>
      <c r="H9" s="66"/>
    </row>
    <row r="10" spans="1:9" ht="22.5" x14ac:dyDescent="0.2">
      <c r="A10" s="102" t="s">
        <v>34</v>
      </c>
      <c r="B10" s="67" t="s">
        <v>2</v>
      </c>
      <c r="C10" s="67" t="str">
        <f>C4</f>
        <v>Business</v>
      </c>
      <c r="D10" s="67" t="s">
        <v>28</v>
      </c>
      <c r="E10" s="79"/>
      <c r="F10" s="80"/>
      <c r="G10" s="77"/>
      <c r="H10" s="66"/>
    </row>
    <row r="11" spans="1:9" x14ac:dyDescent="0.2">
      <c r="A11" s="73" t="s">
        <v>30</v>
      </c>
      <c r="B11" s="74"/>
      <c r="C11" s="75"/>
      <c r="D11" s="76">
        <f>IF(C11=0,0,C11)</f>
        <v>0</v>
      </c>
      <c r="E11" s="79"/>
      <c r="F11" s="80"/>
      <c r="G11" s="77"/>
      <c r="H11" s="66"/>
    </row>
    <row r="12" spans="1:9" x14ac:dyDescent="0.2">
      <c r="A12" s="73" t="s">
        <v>11</v>
      </c>
      <c r="B12" s="75">
        <v>0</v>
      </c>
      <c r="C12" s="75">
        <v>0</v>
      </c>
      <c r="D12" s="76">
        <f>SUM(B12:C12)</f>
        <v>0</v>
      </c>
      <c r="E12" s="79"/>
      <c r="F12" s="80"/>
      <c r="G12" s="84"/>
      <c r="H12" s="66"/>
    </row>
    <row r="13" spans="1:9" x14ac:dyDescent="0.2">
      <c r="A13" s="73" t="s">
        <v>12</v>
      </c>
      <c r="B13" s="75">
        <v>0</v>
      </c>
      <c r="C13" s="75">
        <v>0</v>
      </c>
      <c r="D13" s="76">
        <f>SUM(B13:C13)</f>
        <v>0</v>
      </c>
      <c r="E13" s="85"/>
      <c r="F13" s="86"/>
      <c r="G13" s="84"/>
      <c r="H13" s="66"/>
    </row>
    <row r="14" spans="1:9" x14ac:dyDescent="0.2">
      <c r="A14" s="81" t="str">
        <f>A8</f>
        <v>Total</v>
      </c>
      <c r="B14" s="82">
        <f>IF(B12+B13=0,0,B12+B13)</f>
        <v>0</v>
      </c>
      <c r="C14" s="82">
        <f>IF(SUM(C11:C13)=0,0,SUM(C11:C13))</f>
        <v>0</v>
      </c>
      <c r="D14" s="82">
        <f>IF(SUM(D11:D13)=0,0,SUM(D11:D13))</f>
        <v>0</v>
      </c>
      <c r="E14" s="66"/>
      <c r="F14" s="66"/>
      <c r="G14" s="84"/>
      <c r="H14" s="66"/>
    </row>
    <row r="15" spans="1:9" x14ac:dyDescent="0.2">
      <c r="A15" s="66"/>
      <c r="B15" s="66"/>
      <c r="C15" s="66"/>
      <c r="D15" s="89"/>
      <c r="E15" s="78"/>
      <c r="F15" s="78"/>
      <c r="G15" s="77"/>
      <c r="H15" s="66"/>
    </row>
    <row r="16" spans="1:9" ht="22.5" x14ac:dyDescent="0.2">
      <c r="A16" s="67" t="s">
        <v>35</v>
      </c>
      <c r="B16" s="67" t="s">
        <v>2</v>
      </c>
      <c r="C16" s="67" t="str">
        <f>C4</f>
        <v>Business</v>
      </c>
      <c r="D16" s="67" t="s">
        <v>28</v>
      </c>
      <c r="E16" s="79"/>
      <c r="F16" s="80"/>
      <c r="G16" s="77"/>
      <c r="H16" s="66"/>
    </row>
    <row r="17" spans="1:8" x14ac:dyDescent="0.2">
      <c r="A17" s="73" t="s">
        <v>30</v>
      </c>
      <c r="B17" s="74"/>
      <c r="C17" s="87">
        <f t="shared" ref="C17:D18" si="0">IF(C5+C11=0,0,C5+C11)</f>
        <v>0</v>
      </c>
      <c r="D17" s="76"/>
      <c r="E17" s="79"/>
      <c r="F17" s="80"/>
      <c r="G17" s="77"/>
      <c r="H17" s="66"/>
    </row>
    <row r="18" spans="1:8" x14ac:dyDescent="0.2">
      <c r="A18" s="73" t="s">
        <v>11</v>
      </c>
      <c r="B18" s="87">
        <f>IF(B6+B12=0,0,B6+B12)</f>
        <v>92</v>
      </c>
      <c r="C18" s="87">
        <f>IF(C6+C12=0,0,C6+C12)</f>
        <v>2</v>
      </c>
      <c r="D18" s="76">
        <f t="shared" si="0"/>
        <v>94</v>
      </c>
      <c r="E18" s="79"/>
      <c r="F18" s="80"/>
      <c r="G18" s="84"/>
      <c r="H18" s="66"/>
    </row>
    <row r="19" spans="1:8" x14ac:dyDescent="0.2">
      <c r="A19" s="73" t="s">
        <v>12</v>
      </c>
      <c r="B19" s="87">
        <f>IF(B7+B13=0,0,B7+B13)</f>
        <v>2003</v>
      </c>
      <c r="C19" s="87">
        <f>IF(C7+C13=0,0,C7+C13)</f>
        <v>24</v>
      </c>
      <c r="D19" s="76">
        <f>IF(D7+D13=0,0,D7+D13)</f>
        <v>2027</v>
      </c>
      <c r="E19" s="85"/>
      <c r="F19" s="86"/>
      <c r="G19" s="84"/>
      <c r="H19" s="66"/>
    </row>
    <row r="20" spans="1:8" x14ac:dyDescent="0.2">
      <c r="A20" s="81" t="str">
        <f>A8</f>
        <v>Total</v>
      </c>
      <c r="B20" s="82">
        <f>IF(B18+B19=0,0,B18+B19)</f>
        <v>2095</v>
      </c>
      <c r="C20" s="82">
        <f>IF(SUM(C17:C19)=0,0,SUM(C17:C19))</f>
        <v>26</v>
      </c>
      <c r="D20" s="82">
        <f>SUM(D17:D19)</f>
        <v>2121</v>
      </c>
      <c r="E20" s="84"/>
      <c r="F20" s="84"/>
      <c r="G20" s="84"/>
      <c r="H20" s="66"/>
    </row>
    <row r="21" spans="1:8" x14ac:dyDescent="0.2">
      <c r="B21" s="66"/>
      <c r="C21" s="66"/>
      <c r="E21" s="77"/>
      <c r="F21" s="84"/>
      <c r="G21" s="84"/>
      <c r="H21" s="66"/>
    </row>
    <row r="22" spans="1:8" ht="22.5" x14ac:dyDescent="0.2">
      <c r="A22" s="102" t="s">
        <v>32</v>
      </c>
      <c r="B22" s="67" t="s">
        <v>2</v>
      </c>
      <c r="C22" s="67" t="s">
        <v>3</v>
      </c>
      <c r="D22" s="67" t="s">
        <v>28</v>
      </c>
      <c r="E22" s="66"/>
      <c r="F22" s="84"/>
      <c r="G22" s="84"/>
      <c r="H22" s="66"/>
    </row>
    <row r="23" spans="1:8" x14ac:dyDescent="0.2">
      <c r="A23" s="73" t="s">
        <v>30</v>
      </c>
      <c r="B23" s="74"/>
      <c r="C23" s="87">
        <f>IF(C11+C17=0,0,C11+C17)</f>
        <v>0</v>
      </c>
      <c r="D23" s="76">
        <f>IF(C23=0,0,C23)</f>
        <v>0</v>
      </c>
      <c r="E23" s="66"/>
      <c r="F23" s="84"/>
      <c r="G23" s="84"/>
      <c r="H23" s="66"/>
    </row>
    <row r="24" spans="1:8" x14ac:dyDescent="0.2">
      <c r="A24" s="73" t="s">
        <v>11</v>
      </c>
      <c r="B24" s="75">
        <v>149</v>
      </c>
      <c r="C24" s="75">
        <v>11</v>
      </c>
      <c r="D24" s="76">
        <f>SUM(B24:C24)</f>
        <v>160</v>
      </c>
      <c r="E24" s="66"/>
      <c r="F24" s="84"/>
      <c r="G24" s="84"/>
      <c r="H24" s="66"/>
    </row>
    <row r="25" spans="1:8" x14ac:dyDescent="0.2">
      <c r="A25" s="73" t="s">
        <v>12</v>
      </c>
      <c r="B25" s="75">
        <v>350</v>
      </c>
      <c r="C25" s="75">
        <v>44</v>
      </c>
      <c r="D25" s="76">
        <f>SUM(B25:C25)</f>
        <v>394</v>
      </c>
    </row>
    <row r="26" spans="1:8" x14ac:dyDescent="0.2">
      <c r="A26" s="81" t="str">
        <f>A20</f>
        <v>Total</v>
      </c>
      <c r="B26" s="96">
        <f>IF(B24+B25=0,0,B24+B25)</f>
        <v>499</v>
      </c>
      <c r="C26" s="82">
        <f>IF(SUM(C23:C25)=0,0,SUM(C23:C25))</f>
        <v>55</v>
      </c>
      <c r="D26" s="82">
        <f>IF(SUM(D23:D25)=0,0,SUM(D23:D25))</f>
        <v>554</v>
      </c>
    </row>
    <row r="28" spans="1:8" x14ac:dyDescent="0.2">
      <c r="A28" s="67" t="s">
        <v>33</v>
      </c>
      <c r="B28" s="67" t="s">
        <v>2</v>
      </c>
      <c r="C28" s="67" t="str">
        <f>C16</f>
        <v>Business</v>
      </c>
      <c r="D28" s="67" t="s">
        <v>28</v>
      </c>
    </row>
    <row r="29" spans="1:8" x14ac:dyDescent="0.2">
      <c r="A29" s="73" t="s">
        <v>30</v>
      </c>
      <c r="B29" s="74">
        <f>B17+B23</f>
        <v>0</v>
      </c>
      <c r="C29" s="87">
        <f t="shared" ref="C29:D31" si="1">C17+C23</f>
        <v>0</v>
      </c>
      <c r="D29" s="76">
        <f t="shared" si="1"/>
        <v>0</v>
      </c>
    </row>
    <row r="30" spans="1:8" x14ac:dyDescent="0.2">
      <c r="A30" s="73" t="s">
        <v>11</v>
      </c>
      <c r="B30" s="87">
        <f>B18+B24</f>
        <v>241</v>
      </c>
      <c r="C30" s="87">
        <f t="shared" si="1"/>
        <v>13</v>
      </c>
      <c r="D30" s="76">
        <f t="shared" si="1"/>
        <v>254</v>
      </c>
    </row>
    <row r="31" spans="1:8" x14ac:dyDescent="0.2">
      <c r="A31" s="73" t="s">
        <v>12</v>
      </c>
      <c r="B31" s="87">
        <f>B19+B25</f>
        <v>2353</v>
      </c>
      <c r="C31" s="87">
        <f t="shared" si="1"/>
        <v>68</v>
      </c>
      <c r="D31" s="76">
        <f t="shared" si="1"/>
        <v>2421</v>
      </c>
    </row>
    <row r="32" spans="1:8" x14ac:dyDescent="0.2">
      <c r="A32" s="81" t="str">
        <f>A26</f>
        <v>Total</v>
      </c>
      <c r="B32" s="82">
        <f>IF(B30+B31=0,0,B30+B31)</f>
        <v>2594</v>
      </c>
      <c r="C32" s="82">
        <f>IF(SUM(C29:C31)=0,0,SUM(C29:C31))</f>
        <v>81</v>
      </c>
      <c r="D32" s="82">
        <f>SUM(D29:D31)</f>
        <v>2675</v>
      </c>
    </row>
    <row r="33" spans="1:7" x14ac:dyDescent="0.2">
      <c r="E33" s="66"/>
      <c r="F33" s="66"/>
      <c r="G33" s="66"/>
    </row>
    <row r="34" spans="1:7" x14ac:dyDescent="0.2">
      <c r="A34" s="88" t="str">
        <f>"In summary, "&amp;TEXT($D$20,"0,000")&amp; " of UI's customers are participating in the CTCleanEnergyOptions Program"</f>
        <v>In summary, 2,121 of UI's customers are participating in the CTCleanEnergyOptions Program</v>
      </c>
    </row>
    <row r="35" spans="1:7" x14ac:dyDescent="0.2">
      <c r="A35" s="88" t="str">
        <f>"In summary, "&amp;TEXT($D$26,"000")&amp; " of UI's customers are participating in RECs only with Sterling Planet"</f>
        <v>In summary, 554 of UI's customers are participating in RECs only with Sterling Planet</v>
      </c>
    </row>
    <row r="36" spans="1:7" x14ac:dyDescent="0.2">
      <c r="A36" s="88" t="str">
        <f>"In summary, "&amp;TEXT($D$32,"0,000")&amp; " of UI's customers are participating in all REC programs"</f>
        <v>In summary, 2,675 of UI's customers are participating in all REC programs</v>
      </c>
    </row>
    <row r="38" spans="1:7" x14ac:dyDescent="0.2">
      <c r="A38" s="89" t="s">
        <v>16</v>
      </c>
    </row>
  </sheetData>
  <mergeCells count="2">
    <mergeCell ref="A1:D1"/>
    <mergeCell ref="A2:D2"/>
  </mergeCells>
  <phoneticPr fontId="10" type="noConversion"/>
  <printOptions horizontalCentered="1"/>
  <pageMargins left="0.75" right="0.5" top="1.25" bottom="0.25" header="0.75" footer="0"/>
  <pageSetup fitToWidth="0" orientation="portrait" r:id="rId1"/>
  <headerFooter>
    <oddHeader xml:space="preserve">&amp;L&amp;"Arial,Bold"The United Illuminating Company
Docket No. 06-10-22&amp;C&amp;"Arial,Bold"Attachment 1&amp;R&amp;"Arial,Bold"Page &amp;P of &amp;N
</oddHeader>
  </headerFooter>
  <ignoredErrors>
    <ignoredError sqref="C17 C23 C29 C30:C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3847A1E9B97F49BA46858ADBE2F307" ma:contentTypeVersion="14" ma:contentTypeDescription="Crear nuevo documento." ma:contentTypeScope="" ma:versionID="9a41a406cebf6cce94de0d4d99281d09">
  <xsd:schema xmlns:xsd="http://www.w3.org/2001/XMLSchema" xmlns:xs="http://www.w3.org/2001/XMLSchema" xmlns:p="http://schemas.microsoft.com/office/2006/metadata/properties" xmlns:ns3="01ff2d7e-782e-4868-861d-b0d3b4b9d0c2" xmlns:ns4="cd86f438-89d9-47e9-a174-9969eae3e2b9" targetNamespace="http://schemas.microsoft.com/office/2006/metadata/properties" ma:root="true" ma:fieldsID="9e5d4f284f753d91786dd3f9ea3f8810" ns3:_="" ns4:_="">
    <xsd:import namespace="01ff2d7e-782e-4868-861d-b0d3b4b9d0c2"/>
    <xsd:import namespace="cd86f438-89d9-47e9-a174-9969eae3e2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f2d7e-782e-4868-861d-b0d3b4b9d0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6f438-89d9-47e9-a174-9969eae3e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FD2D0F-D661-492B-92FB-4A59CF007833}">
  <ds:schemaRefs>
    <ds:schemaRef ds:uri="01ff2d7e-782e-4868-861d-b0d3b4b9d0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86f438-89d9-47e9-a174-9969eae3e2b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E1DDE4-AEA8-48A5-875B-FF6C4D3F3D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31D23E-D727-4C6C-8163-BFCC10F82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f2d7e-782e-4868-861d-b0d3b4b9d0c2"/>
    <ds:schemaRef ds:uri="cd86f438-89d9-47e9-a174-9969eae3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Load Customers </vt:lpstr>
      <vt:lpstr>Suppliers</vt:lpstr>
      <vt:lpstr>Summary REC Customers</vt:lpstr>
      <vt:lpstr>REC_programs_detail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2022-04-13T13:58:54Z</cp:lastPrinted>
  <dcterms:created xsi:type="dcterms:W3CDTF">2009-03-17T13:14:28Z</dcterms:created>
  <dcterms:modified xsi:type="dcterms:W3CDTF">2022-12-09T16:21:18Z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0x010100873847A1E9B97F49BA46858ADBE2F307</vt:lpwstr>
  </property>
</Properties>
</file>