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m1\volm1\User\WRK_GRP\Power_Procurement\PA18-50 and 19-35 Implementation\SCEF\PURA Filing\Year 6\Order No 11\"/>
    </mc:Choice>
  </mc:AlternateContent>
  <xr:revisionPtr revIDLastSave="0" documentId="8_{20109750-5AFE-4C5D-9B7B-CE377A758D4C}" xr6:coauthVersionLast="47" xr6:coauthVersionMax="47" xr10:uidLastSave="{00000000-0000-0000-0000-000000000000}"/>
  <bookViews>
    <workbookView xWindow="-28920" yWindow="-120" windowWidth="29040" windowHeight="15720" xr2:uid="{9F614944-92C4-4407-8EDB-D200D35BF024}"/>
  </bookViews>
  <sheets>
    <sheet name="Sheet1" sheetId="1" r:id="rId1"/>
  </sheets>
  <definedNames>
    <definedName name="_xlnm._FilterDatabase" localSheetId="0" hidden="1">Sheet1!$A$8:$BK$26</definedName>
    <definedName name="_xlnm.Print_Area" localSheetId="0">Sheet1!$A$1:$Y$20</definedName>
    <definedName name="_xlnm.Print_Titles" localSheetId="0">Sheet1!$A:$A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6" i="1"/>
  <c r="D5" i="1"/>
  <c r="D4" i="1"/>
  <c r="D1" i="1"/>
  <c r="U26" i="1"/>
  <c r="V26" i="1" s="1"/>
  <c r="R26" i="1"/>
  <c r="S26" i="1" s="1"/>
  <c r="T26" i="1" s="1"/>
  <c r="R25" i="1" l="1"/>
  <c r="R24" i="1"/>
  <c r="R23" i="1"/>
  <c r="M25" i="1"/>
  <c r="U25" i="1" s="1"/>
  <c r="V25" i="1" s="1"/>
  <c r="M24" i="1"/>
  <c r="U24" i="1" s="1"/>
  <c r="V24" i="1" s="1"/>
  <c r="M23" i="1"/>
  <c r="U23" i="1" s="1"/>
  <c r="V23" i="1" s="1"/>
  <c r="J25" i="1"/>
  <c r="J24" i="1"/>
  <c r="J23" i="1"/>
  <c r="S24" i="1" l="1"/>
  <c r="T24" i="1" s="1"/>
  <c r="S23" i="1"/>
  <c r="T23" i="1" s="1"/>
  <c r="S25" i="1"/>
  <c r="T25" i="1" s="1"/>
  <c r="S10" i="1"/>
  <c r="R22" i="1"/>
  <c r="S22" i="1" s="1"/>
  <c r="T22" i="1" s="1"/>
  <c r="R21" i="1"/>
  <c r="S21" i="1" s="1"/>
  <c r="T21" i="1" s="1"/>
  <c r="R20" i="1"/>
  <c r="S20" i="1" s="1"/>
  <c r="T20" i="1" s="1"/>
  <c r="M21" i="1"/>
  <c r="U21" i="1" s="1"/>
  <c r="V21" i="1" s="1"/>
  <c r="M20" i="1"/>
  <c r="U20" i="1" s="1"/>
  <c r="V20" i="1" s="1"/>
  <c r="R19" i="1" l="1"/>
  <c r="S19" i="1"/>
  <c r="T19" i="1" s="1"/>
  <c r="U16" i="1" l="1"/>
  <c r="V16" i="1" s="1"/>
  <c r="S16" i="1"/>
  <c r="T16" i="1" s="1"/>
  <c r="U15" i="1"/>
  <c r="V15" i="1" s="1"/>
  <c r="S15" i="1"/>
  <c r="T15" i="1" s="1"/>
  <c r="U14" i="1"/>
  <c r="V14" i="1" s="1"/>
  <c r="S14" i="1"/>
  <c r="T14" i="1" s="1"/>
  <c r="U13" i="1"/>
  <c r="V13" i="1" s="1"/>
  <c r="S13" i="1"/>
  <c r="T13" i="1" s="1"/>
  <c r="U12" i="1"/>
  <c r="V12" i="1" s="1"/>
  <c r="S12" i="1"/>
  <c r="T12" i="1" s="1"/>
  <c r="U11" i="1"/>
  <c r="V11" i="1" s="1"/>
  <c r="S11" i="1"/>
  <c r="T11" i="1" s="1"/>
  <c r="U10" i="1"/>
  <c r="V10" i="1" s="1"/>
  <c r="T10" i="1"/>
  <c r="Q10" i="1"/>
  <c r="U9" i="1"/>
  <c r="V9" i="1" s="1"/>
  <c r="S9" i="1"/>
  <c r="T9" i="1" s="1"/>
  <c r="Q9" i="1"/>
  <c r="M17" i="1"/>
  <c r="U17" i="1" s="1"/>
  <c r="V17" i="1" s="1"/>
  <c r="R17" i="1"/>
  <c r="R18" i="1"/>
  <c r="S18" i="1" s="1"/>
  <c r="T18" i="1" s="1"/>
  <c r="U18" i="1"/>
  <c r="V18" i="1" s="1"/>
  <c r="I19" i="1"/>
  <c r="S17" i="1" l="1"/>
  <c r="T17" i="1" s="1"/>
</calcChain>
</file>

<file path=xl/sharedStrings.xml><?xml version="1.0" encoding="utf-8"?>
<sst xmlns="http://schemas.openxmlformats.org/spreadsheetml/2006/main" count="254" uniqueCount="114">
  <si>
    <t>Total MW Selected</t>
  </si>
  <si>
    <t>Unallocated MW</t>
  </si>
  <si>
    <t>Allocated, but Unused MW*</t>
  </si>
  <si>
    <t>Total In-Service MW</t>
  </si>
  <si>
    <t>Total Projected 20-Year Payments to Subscriber Organizations</t>
  </si>
  <si>
    <t>Total Projected 20-Year Payments to Subscribers</t>
  </si>
  <si>
    <t>Project ID</t>
  </si>
  <si>
    <t>Selection Status</t>
  </si>
  <si>
    <t>Project Name</t>
  </si>
  <si>
    <t>Subscriber Organization</t>
  </si>
  <si>
    <t>Site Address</t>
  </si>
  <si>
    <t>Technology</t>
  </si>
  <si>
    <t>Solar Technology Sub-Type</t>
  </si>
  <si>
    <t>Project Status</t>
  </si>
  <si>
    <t>As-Bid Project Size (MW)</t>
  </si>
  <si>
    <t>Awarded Project Size (MW)</t>
  </si>
  <si>
    <t>In-Service Project Size (MW)</t>
  </si>
  <si>
    <t>Reallocated MWs (allocated, but unused MWs)</t>
  </si>
  <si>
    <t>Expected Annual Production in kWh**</t>
  </si>
  <si>
    <t>Landfill Bid Preference (T/F as determined by DEEP)</t>
  </si>
  <si>
    <t>Brownfield Bid Preference (T/F as determined by DEEP)</t>
  </si>
  <si>
    <t>As-Bid Average Bid Price (/MWh)</t>
  </si>
  <si>
    <t>Evaluated Bid Price (/MWh)</t>
  </si>
  <si>
    <t>Per Year Price/kWh</t>
  </si>
  <si>
    <t>Per Year Projected Payment to Subscriber Organization</t>
  </si>
  <si>
    <t>Total 20-Year Projected Payments to Subscriber Organization</t>
  </si>
  <si>
    <t>Projected Annual Payments to Subscribers</t>
  </si>
  <si>
    <t>Total 20-Year Projected Payments to Subscribers</t>
  </si>
  <si>
    <t>PURA Approval Date</t>
  </si>
  <si>
    <t>Most Recent Non-binding, estimated In-Service date</t>
  </si>
  <si>
    <t>Customer Class/Tariff (Customer Rate)</t>
  </si>
  <si>
    <t>SCEF1-120071221124622</t>
  </si>
  <si>
    <t>Disqualified</t>
  </si>
  <si>
    <t>North Haven Solar One</t>
  </si>
  <si>
    <t>VCP, LLC</t>
  </si>
  <si>
    <t>122 Mill Road, North Haven</t>
  </si>
  <si>
    <t>Solar PV</t>
  </si>
  <si>
    <t>Fixed Tilt</t>
  </si>
  <si>
    <t>Not Selected</t>
  </si>
  <si>
    <t>F</t>
  </si>
  <si>
    <t>N/A</t>
  </si>
  <si>
    <t>SCEF1-120071017241699</t>
  </si>
  <si>
    <t>Selected</t>
  </si>
  <si>
    <t>49 Coon Hollow Road, DERBY</t>
  </si>
  <si>
    <t>SCEF1 Fuel Cell, LLC</t>
  </si>
  <si>
    <t>49 Coon Hollow Road, Derby</t>
  </si>
  <si>
    <t>Fuel Cell</t>
  </si>
  <si>
    <t>In-Service</t>
  </si>
  <si>
    <t>In-Service 12/14/2023</t>
  </si>
  <si>
    <t>New Construction</t>
  </si>
  <si>
    <t>SCEF1-120071018522213</t>
  </si>
  <si>
    <t>40 Pepes Farm Rd, MILFORD</t>
  </si>
  <si>
    <t>Dynamic Energy Solutions, LLC</t>
  </si>
  <si>
    <t>40 Pepes Farm Road, Milford</t>
  </si>
  <si>
    <t>In-Service 8/2/2023</t>
  </si>
  <si>
    <t>SCEF1-120071312395525</t>
  </si>
  <si>
    <t>121 West Pond Road NORTH BRANFORD</t>
  </si>
  <si>
    <t>Jefferson Solar, LLC</t>
  </si>
  <si>
    <t>121 West Pond Road, North Branford</t>
  </si>
  <si>
    <t>Single Axis</t>
  </si>
  <si>
    <t>Terminated</t>
  </si>
  <si>
    <t>SCEF2-121061412594149</t>
  </si>
  <si>
    <t>95 Christian Street, Oxford</t>
  </si>
  <si>
    <t>Gass Renewables, LLC</t>
  </si>
  <si>
    <t>SCEF2-121061413104383</t>
  </si>
  <si>
    <t>28 Pearl Street, Seymour</t>
  </si>
  <si>
    <t>SCEF2-121061117324549</t>
  </si>
  <si>
    <t>West Haven 2</t>
  </si>
  <si>
    <t>Greenskies Clean Energy LLC</t>
  </si>
  <si>
    <t>8 Spring Street, West Haven</t>
  </si>
  <si>
    <t>Not In-Service</t>
  </si>
  <si>
    <t>T</t>
  </si>
  <si>
    <t>SCEF2-121061117242126</t>
  </si>
  <si>
    <t>West Haven 1</t>
  </si>
  <si>
    <t>239 Front Avenue, Rear/Helm Street, West Haven</t>
  </si>
  <si>
    <t>SCEF3-122030320082272</t>
  </si>
  <si>
    <t>1225 Central Avenue</t>
  </si>
  <si>
    <t>VFS, LLC</t>
  </si>
  <si>
    <t>1225 Central Avenue, Bridgeport</t>
  </si>
  <si>
    <t>SCEF3-122030409141015</t>
  </si>
  <si>
    <t>39 Pine Street</t>
  </si>
  <si>
    <t>Fuel Cell Energy</t>
  </si>
  <si>
    <t>39 Pine Street, Bridgeport</t>
  </si>
  <si>
    <t>SCEF3-122030408564765</t>
  </si>
  <si>
    <t>35 North Main St</t>
  </si>
  <si>
    <t>HyAxiom Inc.</t>
  </si>
  <si>
    <t>35 North  Main St, Ansonia</t>
  </si>
  <si>
    <t>SCEF4-3066</t>
  </si>
  <si>
    <t>HyAx Ansonia 01</t>
  </si>
  <si>
    <t>HyAxiom Inc</t>
  </si>
  <si>
    <t>35 North Main St, Ansonia</t>
  </si>
  <si>
    <t>SCEF4-3047</t>
  </si>
  <si>
    <t>380 Horace St</t>
  </si>
  <si>
    <t>Cogswell Solar Devco LLC</t>
  </si>
  <si>
    <t>380 Horace Street, Bridgeport</t>
  </si>
  <si>
    <t>SCEF4-3067</t>
  </si>
  <si>
    <t>Clean Energy FC, LLC</t>
  </si>
  <si>
    <t>318 Washington Ave, West Haven</t>
  </si>
  <si>
    <t>SCEF5-33438</t>
  </si>
  <si>
    <t>540 Longbrook</t>
  </si>
  <si>
    <t>HyAxiom</t>
  </si>
  <si>
    <t>540 Longbrook Avenue, Stratford</t>
  </si>
  <si>
    <t>SCEF5-33611</t>
  </si>
  <si>
    <t>994-1010 Racebrook</t>
  </si>
  <si>
    <t>994-1010 Racebrook, Woodbridge</t>
  </si>
  <si>
    <t>SCEF5-33618</t>
  </si>
  <si>
    <t>121 W Pond Rd</t>
  </si>
  <si>
    <t>121 W Pond Rd, North Branford</t>
  </si>
  <si>
    <t>SCEF6-179010</t>
  </si>
  <si>
    <t>VCP Realty Rimmon Rd</t>
  </si>
  <si>
    <t>VCP Realty, LLC</t>
  </si>
  <si>
    <t>208 Rimmon Rd, North Haven</t>
  </si>
  <si>
    <t>*Allocated, but Unused MW indicates MW from a SCEF Project that was selected and executed but ultimately Terminated or Final Facility size was smaller than Bid Facility Size</t>
  </si>
  <si>
    <t>**UI has updated the Expected Annual Production of a Year 1 Selection to reflect the Expected Annual Production for the partial award.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</si>
</sst>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&quot;$&quot;* #,##0.00_);_(&quot;$&quot;* \(#,##0.00\);_(&quot;$&quot;* &quot;-&quot;????_);_(@_)"/>
    <numFmt numFmtId="166" formatCode="_(* #,##0_);_(* \(#,##0\);_(* &quot;-&quot;??_);_(@_)"/>
    <numFmt numFmtId="167" formatCode="0.000"/>
    <numFmt numFmtId="168" formatCode="_(* #,##0.000_);_(* \(#,##0.0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167" fontId="0" fillId="0" borderId="1" xfId="0" applyNumberFormat="1" applyBorder="1"/>
    <xf numFmtId="166" fontId="0" fillId="0" borderId="1" xfId="1" applyNumberFormat="1" applyFont="1" applyFill="1" applyBorder="1"/>
    <xf numFmtId="164" fontId="0" fillId="0" borderId="1" xfId="2" applyNumberFormat="1" applyFont="1" applyFill="1" applyBorder="1"/>
    <xf numFmtId="165" fontId="0" fillId="0" borderId="1" xfId="0" applyNumberFormat="1" applyBorder="1"/>
    <xf numFmtId="44" fontId="0" fillId="0" borderId="1" xfId="2" applyFont="1" applyFill="1" applyBorder="1"/>
    <xf numFmtId="44" fontId="0" fillId="0" borderId="1" xfId="0" applyNumberFormat="1" applyBorder="1"/>
    <xf numFmtId="0" fontId="0" fillId="0" borderId="1" xfId="0" applyBorder="1" applyAlignment="1">
      <alignment horizontal="center"/>
    </xf>
    <xf numFmtId="168" fontId="0" fillId="0" borderId="1" xfId="1" applyNumberFormat="1" applyFont="1" applyBorder="1"/>
    <xf numFmtId="0" fontId="0" fillId="0" borderId="2" xfId="0" applyBorder="1"/>
    <xf numFmtId="0" fontId="4" fillId="0" borderId="1" xfId="0" applyFont="1" applyBorder="1" applyAlignment="1">
      <alignment wrapText="1"/>
    </xf>
    <xf numFmtId="167" fontId="3" fillId="0" borderId="1" xfId="0" applyNumberFormat="1" applyFont="1" applyBorder="1" applyAlignment="1">
      <alignment horizontal="center"/>
    </xf>
    <xf numFmtId="14" fontId="0" fillId="0" borderId="1" xfId="0" applyNumberFormat="1" applyBorder="1"/>
    <xf numFmtId="44" fontId="4" fillId="0" borderId="1" xfId="2" applyFont="1" applyFill="1" applyBorder="1" applyAlignment="1">
      <alignment wrapText="1"/>
    </xf>
    <xf numFmtId="166" fontId="0" fillId="0" borderId="0" xfId="1" applyNumberFormat="1" applyFont="1"/>
    <xf numFmtId="0" fontId="2" fillId="0" borderId="1" xfId="0" applyFont="1" applyBorder="1"/>
    <xf numFmtId="166" fontId="0" fillId="0" borderId="1" xfId="1" applyNumberFormat="1" applyFont="1" applyBorder="1"/>
    <xf numFmtId="44" fontId="0" fillId="0" borderId="1" xfId="2" applyFont="1" applyBorder="1"/>
    <xf numFmtId="44" fontId="0" fillId="0" borderId="0" xfId="2" applyFont="1" applyFill="1"/>
    <xf numFmtId="0" fontId="2" fillId="0" borderId="1" xfId="0" applyFont="1" applyBorder="1" applyAlignment="1">
      <alignment wrapText="1"/>
    </xf>
    <xf numFmtId="166" fontId="2" fillId="0" borderId="1" xfId="1" applyNumberFormat="1" applyFont="1" applyFill="1" applyBorder="1" applyAlignment="1">
      <alignment wrapText="1"/>
    </xf>
    <xf numFmtId="44" fontId="2" fillId="0" borderId="1" xfId="2" applyFont="1" applyFill="1" applyBorder="1" applyAlignment="1">
      <alignment wrapText="1"/>
    </xf>
    <xf numFmtId="0" fontId="3" fillId="0" borderId="1" xfId="0" applyFont="1" applyBorder="1"/>
    <xf numFmtId="167" fontId="3" fillId="0" borderId="1" xfId="0" applyNumberFormat="1" applyFont="1" applyBorder="1"/>
    <xf numFmtId="167" fontId="3" fillId="0" borderId="1" xfId="0" applyNumberFormat="1" applyFont="1" applyBorder="1" applyAlignment="1">
      <alignment horizontal="right"/>
    </xf>
    <xf numFmtId="164" fontId="3" fillId="0" borderId="1" xfId="2" applyNumberFormat="1" applyFont="1" applyBorder="1"/>
    <xf numFmtId="164" fontId="3" fillId="0" borderId="1" xfId="2" applyNumberFormat="1" applyFont="1" applyFill="1" applyBorder="1"/>
    <xf numFmtId="167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/>
    <xf numFmtId="43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0" fillId="0" borderId="0" xfId="0" applyAlignment="1"/>
  </cellXfs>
  <cellStyles count="3">
    <cellStyle name="Comma" xfId="1" builtinId="3"/>
    <cellStyle name="Currency" xfId="2" builtinId="4"/>
    <cellStyle name="Normal" xfId="0" builtinId="0"/>
  </cellStyles>
  <dxfs count="2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10B8E-40CC-47CA-9071-2E91C22E921A}">
  <sheetPr>
    <pageSetUpPr fitToPage="1"/>
  </sheetPr>
  <dimension ref="A1:BJ28"/>
  <sheetViews>
    <sheetView tabSelected="1" view="pageLayout" zoomScaleNormal="90" zoomScaleSheetLayoutView="100" workbookViewId="0">
      <selection activeCell="E3" sqref="E3"/>
    </sheetView>
  </sheetViews>
  <sheetFormatPr defaultRowHeight="15"/>
  <cols>
    <col min="1" max="1" width="20.85546875" customWidth="1"/>
    <col min="2" max="2" width="12.140625" customWidth="1"/>
    <col min="3" max="3" width="55.85546875" customWidth="1"/>
    <col min="4" max="4" width="28.5703125" customWidth="1"/>
    <col min="5" max="5" width="44.42578125" customWidth="1"/>
    <col min="6" max="6" width="11.28515625" customWidth="1"/>
    <col min="7" max="7" width="11.140625" customWidth="1"/>
    <col min="8" max="8" width="17.140625" bestFit="1" customWidth="1"/>
    <col min="9" max="9" width="12.7109375" bestFit="1" customWidth="1"/>
    <col min="10" max="11" width="11.7109375" customWidth="1"/>
    <col min="12" max="12" width="13.5703125" customWidth="1"/>
    <col min="13" max="13" width="14.28515625" style="16" bestFit="1" customWidth="1"/>
    <col min="14" max="15" width="12.85546875" bestFit="1" customWidth="1"/>
    <col min="16" max="16" width="10.42578125" bestFit="1" customWidth="1"/>
    <col min="17" max="17" width="10.28515625" bestFit="1" customWidth="1"/>
    <col min="18" max="18" width="18.85546875" bestFit="1" customWidth="1"/>
    <col min="19" max="19" width="17.140625" bestFit="1" customWidth="1"/>
    <col min="20" max="20" width="18.140625" bestFit="1" customWidth="1"/>
    <col min="21" max="21" width="15.140625" customWidth="1"/>
    <col min="22" max="22" width="16.140625" customWidth="1"/>
    <col min="23" max="23" width="12.140625" bestFit="1" customWidth="1"/>
    <col min="24" max="25" width="20.140625" bestFit="1" customWidth="1"/>
    <col min="26" max="37" width="10.85546875" bestFit="1" customWidth="1"/>
    <col min="38" max="38" width="14.7109375" customWidth="1"/>
    <col min="39" max="39" width="14.85546875" customWidth="1"/>
    <col min="40" max="40" width="14.28515625" customWidth="1"/>
    <col min="41" max="41" width="14.42578125" customWidth="1"/>
    <col min="42" max="42" width="16" customWidth="1"/>
    <col min="43" max="54" width="15.5703125" customWidth="1"/>
    <col min="55" max="57" width="16.42578125" customWidth="1"/>
    <col min="58" max="58" width="24.85546875" customWidth="1"/>
    <col min="59" max="61" width="16.42578125" customWidth="1"/>
    <col min="62" max="62" width="16.42578125" style="20" customWidth="1"/>
    <col min="63" max="63" width="18.140625" customWidth="1"/>
  </cols>
  <sheetData>
    <row r="1" spans="1:25">
      <c r="C1" s="17" t="s">
        <v>0</v>
      </c>
      <c r="D1" s="10">
        <f>SUM(J10,J11,J12,J15:J18,J20:J21,J23:J25,J26)</f>
        <v>29.96</v>
      </c>
    </row>
    <row r="2" spans="1:25">
      <c r="C2" s="17" t="s">
        <v>1</v>
      </c>
      <c r="D2" s="10">
        <v>11.914999999999999</v>
      </c>
    </row>
    <row r="3" spans="1:25">
      <c r="C3" s="17" t="s">
        <v>2</v>
      </c>
      <c r="D3" s="10">
        <f>SUMIF(H9:H26,"In-Service",L9:L26)+SUMIF(H9:H26,"Terminated",L9:L26)</f>
        <v>0.7</v>
      </c>
    </row>
    <row r="4" spans="1:25">
      <c r="C4" s="17" t="s">
        <v>3</v>
      </c>
      <c r="D4" s="10">
        <f>SUMIF(H9:H25,"In-Service",K9:K25)</f>
        <v>4.3</v>
      </c>
    </row>
    <row r="5" spans="1:25">
      <c r="C5" s="17" t="s">
        <v>4</v>
      </c>
      <c r="D5" s="19">
        <f>SUMIF(B9:B26,"Selected",T9:T26)</f>
        <v>394702376.98000002</v>
      </c>
    </row>
    <row r="6" spans="1:25">
      <c r="C6" s="17" t="s">
        <v>5</v>
      </c>
      <c r="D6" s="19">
        <f>SUMIF(B9:B26,"Selected",V9:V26)</f>
        <v>74560018.5</v>
      </c>
    </row>
    <row r="8" spans="1:25" s="1" customFormat="1" ht="90">
      <c r="A8" s="21" t="s">
        <v>6</v>
      </c>
      <c r="B8" s="21" t="s">
        <v>7</v>
      </c>
      <c r="C8" s="21" t="s">
        <v>8</v>
      </c>
      <c r="D8" s="21" t="s">
        <v>9</v>
      </c>
      <c r="E8" s="21" t="s">
        <v>10</v>
      </c>
      <c r="F8" s="21" t="s">
        <v>11</v>
      </c>
      <c r="G8" s="21" t="s">
        <v>12</v>
      </c>
      <c r="H8" s="12" t="s">
        <v>13</v>
      </c>
      <c r="I8" s="21" t="s">
        <v>14</v>
      </c>
      <c r="J8" s="21" t="s">
        <v>15</v>
      </c>
      <c r="K8" s="12" t="s">
        <v>16</v>
      </c>
      <c r="L8" s="21" t="s">
        <v>17</v>
      </c>
      <c r="M8" s="22" t="s">
        <v>18</v>
      </c>
      <c r="N8" s="21" t="s">
        <v>19</v>
      </c>
      <c r="O8" s="21" t="s">
        <v>20</v>
      </c>
      <c r="P8" s="23" t="s">
        <v>21</v>
      </c>
      <c r="Q8" s="23" t="s">
        <v>22</v>
      </c>
      <c r="R8" s="15" t="s">
        <v>23</v>
      </c>
      <c r="S8" s="23" t="s">
        <v>24</v>
      </c>
      <c r="T8" s="23" t="s">
        <v>25</v>
      </c>
      <c r="U8" s="23" t="s">
        <v>26</v>
      </c>
      <c r="V8" s="23" t="s">
        <v>27</v>
      </c>
      <c r="W8" s="23" t="s">
        <v>28</v>
      </c>
      <c r="X8" s="21" t="s">
        <v>29</v>
      </c>
      <c r="Y8" s="21" t="s">
        <v>30</v>
      </c>
    </row>
    <row r="9" spans="1:25" s="1" customFormat="1">
      <c r="A9" s="2" t="s">
        <v>31</v>
      </c>
      <c r="B9" s="2" t="s">
        <v>32</v>
      </c>
      <c r="C9" s="2" t="s">
        <v>33</v>
      </c>
      <c r="D9" s="2" t="s">
        <v>34</v>
      </c>
      <c r="E9" s="2" t="s">
        <v>35</v>
      </c>
      <c r="F9" s="2" t="s">
        <v>36</v>
      </c>
      <c r="G9" s="2" t="s">
        <v>37</v>
      </c>
      <c r="H9" s="24" t="s">
        <v>38</v>
      </c>
      <c r="I9" s="3">
        <v>1.625</v>
      </c>
      <c r="J9" s="3">
        <v>0</v>
      </c>
      <c r="K9" s="26">
        <v>0</v>
      </c>
      <c r="L9" s="29">
        <v>0</v>
      </c>
      <c r="M9" s="4">
        <v>0</v>
      </c>
      <c r="N9" s="9" t="s">
        <v>39</v>
      </c>
      <c r="O9" s="9" t="s">
        <v>39</v>
      </c>
      <c r="P9" s="19">
        <v>100</v>
      </c>
      <c r="Q9" s="19">
        <f t="shared" ref="Q9:Q10" si="0">P9</f>
        <v>100</v>
      </c>
      <c r="R9" s="28">
        <v>0.1</v>
      </c>
      <c r="S9" s="6">
        <f t="shared" ref="S9:S16" si="1">$M9*R9</f>
        <v>0</v>
      </c>
      <c r="T9" s="7">
        <f>S9*20</f>
        <v>0</v>
      </c>
      <c r="U9" s="6">
        <f t="shared" ref="U9:U16" si="2">M9*0.025</f>
        <v>0</v>
      </c>
      <c r="V9" s="8">
        <f t="shared" ref="V9" si="3">U9*20</f>
        <v>0</v>
      </c>
      <c r="W9" s="31" t="s">
        <v>40</v>
      </c>
      <c r="X9" s="32" t="s">
        <v>40</v>
      </c>
      <c r="Y9" s="32" t="s">
        <v>40</v>
      </c>
    </row>
    <row r="10" spans="1:25" s="1" customFormat="1">
      <c r="A10" s="2" t="s">
        <v>41</v>
      </c>
      <c r="B10" s="2" t="s">
        <v>42</v>
      </c>
      <c r="C10" s="2" t="s">
        <v>43</v>
      </c>
      <c r="D10" s="2" t="s">
        <v>44</v>
      </c>
      <c r="E10" s="2" t="s">
        <v>45</v>
      </c>
      <c r="F10" s="2" t="s">
        <v>46</v>
      </c>
      <c r="G10" s="2"/>
      <c r="H10" s="24" t="s">
        <v>47</v>
      </c>
      <c r="I10" s="3">
        <v>2.8</v>
      </c>
      <c r="J10" s="3">
        <v>2.8</v>
      </c>
      <c r="K10" s="13">
        <v>2.8</v>
      </c>
      <c r="L10" s="30" t="s">
        <v>40</v>
      </c>
      <c r="M10" s="4">
        <v>21988476</v>
      </c>
      <c r="N10" s="9" t="s">
        <v>39</v>
      </c>
      <c r="O10" s="9" t="s">
        <v>39</v>
      </c>
      <c r="P10" s="19">
        <v>137</v>
      </c>
      <c r="Q10" s="19">
        <f t="shared" si="0"/>
        <v>137</v>
      </c>
      <c r="R10" s="28">
        <v>0.13700000000000001</v>
      </c>
      <c r="S10" s="6">
        <f>$M10*R10</f>
        <v>3012421.2120000003</v>
      </c>
      <c r="T10" s="7">
        <f>S10*20</f>
        <v>60248424.24000001</v>
      </c>
      <c r="U10" s="6">
        <f t="shared" si="2"/>
        <v>549711.9</v>
      </c>
      <c r="V10" s="8">
        <f>U10*20</f>
        <v>10994238</v>
      </c>
      <c r="W10" s="14">
        <v>44218</v>
      </c>
      <c r="X10" s="35" t="s">
        <v>48</v>
      </c>
      <c r="Y10" s="6" t="s">
        <v>49</v>
      </c>
    </row>
    <row r="11" spans="1:25" s="1" customFormat="1">
      <c r="A11" s="2" t="s">
        <v>50</v>
      </c>
      <c r="B11" s="2" t="s">
        <v>42</v>
      </c>
      <c r="C11" s="2" t="s">
        <v>51</v>
      </c>
      <c r="D11" s="2" t="s">
        <v>52</v>
      </c>
      <c r="E11" s="2" t="s">
        <v>53</v>
      </c>
      <c r="F11" s="2" t="s">
        <v>36</v>
      </c>
      <c r="G11" s="2" t="s">
        <v>37</v>
      </c>
      <c r="H11" s="24" t="s">
        <v>47</v>
      </c>
      <c r="I11" s="3">
        <v>1.5</v>
      </c>
      <c r="J11" s="3">
        <v>1.5</v>
      </c>
      <c r="K11" s="13">
        <v>1.5</v>
      </c>
      <c r="L11" s="30" t="s">
        <v>40</v>
      </c>
      <c r="M11" s="4">
        <v>2675000</v>
      </c>
      <c r="N11" s="9" t="s">
        <v>39</v>
      </c>
      <c r="O11" s="9" t="s">
        <v>39</v>
      </c>
      <c r="P11" s="19">
        <v>135</v>
      </c>
      <c r="Q11" s="19">
        <v>135</v>
      </c>
      <c r="R11" s="28">
        <v>0.13500000000000001</v>
      </c>
      <c r="S11" s="6">
        <f t="shared" si="1"/>
        <v>361125</v>
      </c>
      <c r="T11" s="7">
        <f t="shared" ref="T11:T16" si="4">S11*20</f>
        <v>7222500</v>
      </c>
      <c r="U11" s="6">
        <f>M11*0.025</f>
        <v>66875</v>
      </c>
      <c r="V11" s="8">
        <f>U11*20</f>
        <v>1337500</v>
      </c>
      <c r="W11" s="14">
        <v>44218</v>
      </c>
      <c r="X11" s="35" t="s">
        <v>54</v>
      </c>
      <c r="Y11" s="6" t="s">
        <v>49</v>
      </c>
    </row>
    <row r="12" spans="1:25" s="1" customFormat="1">
      <c r="A12" s="2" t="s">
        <v>55</v>
      </c>
      <c r="B12" s="2" t="s">
        <v>42</v>
      </c>
      <c r="C12" s="2" t="s">
        <v>56</v>
      </c>
      <c r="D12" s="2" t="s">
        <v>57</v>
      </c>
      <c r="E12" s="2" t="s">
        <v>58</v>
      </c>
      <c r="F12" s="2" t="s">
        <v>36</v>
      </c>
      <c r="G12" s="2" t="s">
        <v>59</v>
      </c>
      <c r="H12" s="24" t="s">
        <v>60</v>
      </c>
      <c r="I12" s="3">
        <v>4</v>
      </c>
      <c r="J12" s="3">
        <v>0.7</v>
      </c>
      <c r="K12" s="13">
        <v>0</v>
      </c>
      <c r="L12" s="30">
        <v>0.7</v>
      </c>
      <c r="M12" s="4">
        <v>1235598</v>
      </c>
      <c r="N12" s="9" t="s">
        <v>39</v>
      </c>
      <c r="O12" s="9" t="s">
        <v>39</v>
      </c>
      <c r="P12" s="19">
        <v>159</v>
      </c>
      <c r="Q12" s="19">
        <v>159</v>
      </c>
      <c r="R12" s="28">
        <v>0.159</v>
      </c>
      <c r="S12" s="6">
        <f t="shared" si="1"/>
        <v>196460.08199999999</v>
      </c>
      <c r="T12" s="7">
        <f t="shared" si="4"/>
        <v>3929201.6399999997</v>
      </c>
      <c r="U12" s="6">
        <f t="shared" si="2"/>
        <v>30889.95</v>
      </c>
      <c r="V12" s="8">
        <f>U12*20</f>
        <v>617799</v>
      </c>
      <c r="W12" s="14">
        <v>44218</v>
      </c>
      <c r="X12" s="14">
        <v>45312</v>
      </c>
      <c r="Y12" s="6" t="s">
        <v>49</v>
      </c>
    </row>
    <row r="13" spans="1:25" s="1" customFormat="1">
      <c r="A13" s="2" t="s">
        <v>61</v>
      </c>
      <c r="B13" s="2" t="s">
        <v>32</v>
      </c>
      <c r="C13" s="2" t="s">
        <v>62</v>
      </c>
      <c r="D13" s="2" t="s">
        <v>63</v>
      </c>
      <c r="E13" s="2" t="s">
        <v>62</v>
      </c>
      <c r="F13" s="2" t="s">
        <v>36</v>
      </c>
      <c r="G13" s="2" t="s">
        <v>37</v>
      </c>
      <c r="H13" s="24" t="s">
        <v>38</v>
      </c>
      <c r="I13" s="25">
        <v>4</v>
      </c>
      <c r="J13" s="3">
        <v>0</v>
      </c>
      <c r="K13" s="26">
        <v>0</v>
      </c>
      <c r="L13" s="29">
        <v>0</v>
      </c>
      <c r="M13" s="4">
        <v>0</v>
      </c>
      <c r="N13" s="9" t="s">
        <v>40</v>
      </c>
      <c r="O13" s="9" t="s">
        <v>40</v>
      </c>
      <c r="P13" s="19">
        <v>90</v>
      </c>
      <c r="Q13" s="9" t="s">
        <v>40</v>
      </c>
      <c r="R13" s="27">
        <v>0.09</v>
      </c>
      <c r="S13" s="5">
        <f t="shared" si="1"/>
        <v>0</v>
      </c>
      <c r="T13" s="7">
        <f t="shared" si="4"/>
        <v>0</v>
      </c>
      <c r="U13" s="6">
        <f t="shared" si="2"/>
        <v>0</v>
      </c>
      <c r="V13" s="8">
        <f t="shared" ref="V13:V16" si="5">U13*20</f>
        <v>0</v>
      </c>
      <c r="W13" s="31" t="s">
        <v>40</v>
      </c>
      <c r="X13" s="31" t="s">
        <v>40</v>
      </c>
      <c r="Y13" s="32" t="s">
        <v>40</v>
      </c>
    </row>
    <row r="14" spans="1:25" s="1" customFormat="1">
      <c r="A14" s="2" t="s">
        <v>64</v>
      </c>
      <c r="B14" s="2" t="s">
        <v>32</v>
      </c>
      <c r="C14" s="2" t="s">
        <v>65</v>
      </c>
      <c r="D14" s="2" t="s">
        <v>63</v>
      </c>
      <c r="E14" s="2" t="s">
        <v>65</v>
      </c>
      <c r="F14" s="2" t="s">
        <v>36</v>
      </c>
      <c r="G14" s="2" t="s">
        <v>37</v>
      </c>
      <c r="H14" s="24" t="s">
        <v>38</v>
      </c>
      <c r="I14" s="3">
        <v>2.125</v>
      </c>
      <c r="J14" s="3">
        <v>0</v>
      </c>
      <c r="K14" s="26">
        <v>0</v>
      </c>
      <c r="L14" s="29">
        <v>0</v>
      </c>
      <c r="M14" s="4">
        <v>0</v>
      </c>
      <c r="N14" s="9" t="s">
        <v>40</v>
      </c>
      <c r="O14" s="9" t="s">
        <v>40</v>
      </c>
      <c r="P14" s="19">
        <v>95</v>
      </c>
      <c r="Q14" s="9" t="s">
        <v>40</v>
      </c>
      <c r="R14" s="27">
        <v>9.5000000000000001E-2</v>
      </c>
      <c r="S14" s="5">
        <f t="shared" si="1"/>
        <v>0</v>
      </c>
      <c r="T14" s="7">
        <f t="shared" si="4"/>
        <v>0</v>
      </c>
      <c r="U14" s="6">
        <f t="shared" si="2"/>
        <v>0</v>
      </c>
      <c r="V14" s="8">
        <f t="shared" si="5"/>
        <v>0</v>
      </c>
      <c r="W14" s="31" t="s">
        <v>40</v>
      </c>
      <c r="X14" s="31" t="s">
        <v>40</v>
      </c>
      <c r="Y14" s="32" t="s">
        <v>40</v>
      </c>
    </row>
    <row r="15" spans="1:25" s="1" customFormat="1">
      <c r="A15" s="2" t="s">
        <v>66</v>
      </c>
      <c r="B15" s="2" t="s">
        <v>42</v>
      </c>
      <c r="C15" s="2" t="s">
        <v>67</v>
      </c>
      <c r="D15" s="2" t="s">
        <v>68</v>
      </c>
      <c r="E15" s="2" t="s">
        <v>69</v>
      </c>
      <c r="F15" s="2" t="s">
        <v>36</v>
      </c>
      <c r="G15" s="2" t="s">
        <v>37</v>
      </c>
      <c r="H15" s="24" t="s">
        <v>70</v>
      </c>
      <c r="I15" s="3">
        <v>0.875</v>
      </c>
      <c r="J15" s="3">
        <v>0.875</v>
      </c>
      <c r="K15" s="13" t="s">
        <v>40</v>
      </c>
      <c r="L15" s="30" t="s">
        <v>40</v>
      </c>
      <c r="M15" s="18">
        <v>1512000</v>
      </c>
      <c r="N15" s="9" t="s">
        <v>71</v>
      </c>
      <c r="O15" s="9" t="s">
        <v>39</v>
      </c>
      <c r="P15" s="7">
        <v>136</v>
      </c>
      <c r="Q15" s="7">
        <v>108.80000000000001</v>
      </c>
      <c r="R15" s="28">
        <v>0.13600000000000001</v>
      </c>
      <c r="S15" s="5">
        <f t="shared" si="1"/>
        <v>205632.00000000003</v>
      </c>
      <c r="T15" s="7">
        <f t="shared" si="4"/>
        <v>4112640.0000000005</v>
      </c>
      <c r="U15" s="6">
        <f t="shared" si="2"/>
        <v>37800</v>
      </c>
      <c r="V15" s="8">
        <f t="shared" si="5"/>
        <v>756000</v>
      </c>
      <c r="W15" s="14">
        <v>44518</v>
      </c>
      <c r="X15" s="14">
        <v>45607</v>
      </c>
      <c r="Y15" s="6" t="s">
        <v>49</v>
      </c>
    </row>
    <row r="16" spans="1:25" s="1" customFormat="1">
      <c r="A16" s="2" t="s">
        <v>72</v>
      </c>
      <c r="B16" s="2" t="s">
        <v>42</v>
      </c>
      <c r="C16" s="2" t="s">
        <v>73</v>
      </c>
      <c r="D16" s="2" t="s">
        <v>68</v>
      </c>
      <c r="E16" s="2" t="s">
        <v>74</v>
      </c>
      <c r="F16" s="2" t="s">
        <v>36</v>
      </c>
      <c r="G16" s="2" t="s">
        <v>37</v>
      </c>
      <c r="H16" s="24" t="s">
        <v>70</v>
      </c>
      <c r="I16" s="3">
        <v>1</v>
      </c>
      <c r="J16" s="3">
        <v>1</v>
      </c>
      <c r="K16" s="13" t="s">
        <v>40</v>
      </c>
      <c r="L16" s="30" t="s">
        <v>40</v>
      </c>
      <c r="M16" s="18">
        <v>1879000</v>
      </c>
      <c r="N16" s="9" t="s">
        <v>71</v>
      </c>
      <c r="O16" s="9" t="s">
        <v>39</v>
      </c>
      <c r="P16" s="7">
        <v>135</v>
      </c>
      <c r="Q16" s="7">
        <v>108</v>
      </c>
      <c r="R16" s="28">
        <v>0.13500000000000001</v>
      </c>
      <c r="S16" s="5">
        <f t="shared" si="1"/>
        <v>253665.00000000003</v>
      </c>
      <c r="T16" s="7">
        <f t="shared" si="4"/>
        <v>5073300.0000000009</v>
      </c>
      <c r="U16" s="6">
        <f t="shared" si="2"/>
        <v>46975</v>
      </c>
      <c r="V16" s="8">
        <f t="shared" si="5"/>
        <v>939500</v>
      </c>
      <c r="W16" s="14">
        <v>44518</v>
      </c>
      <c r="X16" s="14">
        <v>45607</v>
      </c>
      <c r="Y16" s="6" t="s">
        <v>49</v>
      </c>
    </row>
    <row r="17" spans="1:62">
      <c r="A17" s="2" t="s">
        <v>75</v>
      </c>
      <c r="B17" s="2" t="s">
        <v>42</v>
      </c>
      <c r="C17" s="2" t="s">
        <v>76</v>
      </c>
      <c r="D17" s="2" t="s">
        <v>77</v>
      </c>
      <c r="E17" s="2" t="s">
        <v>78</v>
      </c>
      <c r="F17" s="2" t="s">
        <v>46</v>
      </c>
      <c r="G17" s="2"/>
      <c r="H17" s="24" t="s">
        <v>70</v>
      </c>
      <c r="I17" s="3">
        <v>4</v>
      </c>
      <c r="J17" s="3">
        <v>4</v>
      </c>
      <c r="K17" s="26">
        <v>0</v>
      </c>
      <c r="L17" s="29">
        <v>0</v>
      </c>
      <c r="M17" s="4">
        <f>32587*1000</f>
        <v>32587000</v>
      </c>
      <c r="N17" s="9" t="s">
        <v>39</v>
      </c>
      <c r="O17" s="9" t="s">
        <v>71</v>
      </c>
      <c r="P17" s="19">
        <v>129.9</v>
      </c>
      <c r="Q17" s="19">
        <v>103.92</v>
      </c>
      <c r="R17" s="28">
        <f t="shared" ref="R17:R25" si="6">P17/1000</f>
        <v>0.12990000000000002</v>
      </c>
      <c r="S17" s="6">
        <f t="shared" ref="S17" si="7">$M17*R17</f>
        <v>4233051.3000000007</v>
      </c>
      <c r="T17" s="7">
        <f t="shared" ref="T17:T22" si="8">S17*20</f>
        <v>84661026.000000015</v>
      </c>
      <c r="U17" s="6">
        <f t="shared" ref="U17:U18" si="9">M17*0.025</f>
        <v>814675</v>
      </c>
      <c r="V17" s="8">
        <f t="shared" ref="V17" si="10">U17*20</f>
        <v>16293500</v>
      </c>
      <c r="W17" s="14">
        <v>44708</v>
      </c>
      <c r="X17" s="14">
        <v>45584</v>
      </c>
      <c r="Y17" s="6" t="s">
        <v>49</v>
      </c>
      <c r="BJ17"/>
    </row>
    <row r="18" spans="1:62">
      <c r="A18" s="2" t="s">
        <v>79</v>
      </c>
      <c r="B18" s="2" t="s">
        <v>42</v>
      </c>
      <c r="C18" s="2" t="s">
        <v>80</v>
      </c>
      <c r="D18" s="2" t="s">
        <v>81</v>
      </c>
      <c r="E18" s="2" t="s">
        <v>82</v>
      </c>
      <c r="F18" s="2" t="s">
        <v>46</v>
      </c>
      <c r="G18" s="2"/>
      <c r="H18" s="24" t="s">
        <v>70</v>
      </c>
      <c r="I18" s="3">
        <v>2.8</v>
      </c>
      <c r="J18" s="3">
        <v>1</v>
      </c>
      <c r="K18" s="26">
        <v>0</v>
      </c>
      <c r="L18" s="29">
        <v>0</v>
      </c>
      <c r="M18" s="4">
        <v>7884000</v>
      </c>
      <c r="N18" s="9" t="s">
        <v>39</v>
      </c>
      <c r="O18" s="9" t="s">
        <v>71</v>
      </c>
      <c r="P18" s="19">
        <v>135</v>
      </c>
      <c r="Q18" s="19">
        <v>108</v>
      </c>
      <c r="R18" s="28">
        <f t="shared" si="6"/>
        <v>0.13500000000000001</v>
      </c>
      <c r="S18" s="6">
        <f>$M18*R18</f>
        <v>1064340</v>
      </c>
      <c r="T18" s="7">
        <f t="shared" si="8"/>
        <v>21286800</v>
      </c>
      <c r="U18" s="6">
        <f t="shared" si="9"/>
        <v>197100</v>
      </c>
      <c r="V18" s="8">
        <f>U18*20</f>
        <v>3942000</v>
      </c>
      <c r="W18" s="14">
        <v>44708</v>
      </c>
      <c r="X18" s="14">
        <v>45868</v>
      </c>
      <c r="Y18" s="6" t="s">
        <v>49</v>
      </c>
      <c r="BJ18"/>
    </row>
    <row r="19" spans="1:62">
      <c r="A19" s="2" t="s">
        <v>83</v>
      </c>
      <c r="B19" s="2" t="s">
        <v>32</v>
      </c>
      <c r="C19" s="2" t="s">
        <v>84</v>
      </c>
      <c r="D19" s="2" t="s">
        <v>85</v>
      </c>
      <c r="E19" s="2" t="s">
        <v>86</v>
      </c>
      <c r="F19" s="2" t="s">
        <v>46</v>
      </c>
      <c r="G19" s="2"/>
      <c r="H19" s="24" t="s">
        <v>38</v>
      </c>
      <c r="I19" s="3">
        <f>3996/1000</f>
        <v>3.996</v>
      </c>
      <c r="J19" s="3">
        <v>0</v>
      </c>
      <c r="K19" s="25">
        <v>0</v>
      </c>
      <c r="L19" s="29">
        <v>0</v>
      </c>
      <c r="M19" s="4">
        <v>0</v>
      </c>
      <c r="N19" s="9" t="s">
        <v>40</v>
      </c>
      <c r="O19" s="9" t="s">
        <v>40</v>
      </c>
      <c r="P19" s="19">
        <v>132</v>
      </c>
      <c r="Q19" s="9" t="s">
        <v>40</v>
      </c>
      <c r="R19" s="28">
        <f t="shared" si="6"/>
        <v>0.13200000000000001</v>
      </c>
      <c r="S19" s="6">
        <f>$M19*R19</f>
        <v>0</v>
      </c>
      <c r="T19" s="7">
        <f t="shared" si="8"/>
        <v>0</v>
      </c>
      <c r="U19" s="6">
        <v>0</v>
      </c>
      <c r="V19" s="8">
        <v>0</v>
      </c>
      <c r="W19" s="31" t="s">
        <v>40</v>
      </c>
      <c r="X19" s="31" t="s">
        <v>40</v>
      </c>
      <c r="Y19" s="32" t="s">
        <v>40</v>
      </c>
      <c r="BJ19"/>
    </row>
    <row r="20" spans="1:62">
      <c r="A20" s="2" t="s">
        <v>87</v>
      </c>
      <c r="B20" s="2" t="s">
        <v>42</v>
      </c>
      <c r="C20" s="2" t="s">
        <v>88</v>
      </c>
      <c r="D20" s="2" t="s">
        <v>89</v>
      </c>
      <c r="E20" s="2" t="s">
        <v>90</v>
      </c>
      <c r="F20" s="2" t="s">
        <v>46</v>
      </c>
      <c r="G20" s="2"/>
      <c r="H20" s="2" t="s">
        <v>70</v>
      </c>
      <c r="I20" s="3">
        <v>3.996</v>
      </c>
      <c r="J20" s="3">
        <v>3.996</v>
      </c>
      <c r="K20" s="2" t="s">
        <v>40</v>
      </c>
      <c r="L20" s="2" t="s">
        <v>40</v>
      </c>
      <c r="M20" s="18">
        <f>30678*1000</f>
        <v>30678000</v>
      </c>
      <c r="N20" s="9" t="s">
        <v>39</v>
      </c>
      <c r="O20" s="9" t="s">
        <v>71</v>
      </c>
      <c r="P20" s="7">
        <v>130</v>
      </c>
      <c r="Q20" s="19">
        <v>104</v>
      </c>
      <c r="R20" s="33">
        <f t="shared" si="6"/>
        <v>0.13</v>
      </c>
      <c r="S20" s="6">
        <f>$M20*R20</f>
        <v>3988140</v>
      </c>
      <c r="T20" s="7">
        <f t="shared" si="8"/>
        <v>79762800</v>
      </c>
      <c r="U20" s="6">
        <f>M20*0.025</f>
        <v>766950</v>
      </c>
      <c r="V20" s="8">
        <f>U20*20</f>
        <v>15339000</v>
      </c>
      <c r="W20" s="14">
        <v>45084</v>
      </c>
      <c r="X20" s="14">
        <v>45657</v>
      </c>
      <c r="Y20" s="6" t="s">
        <v>49</v>
      </c>
      <c r="BJ20"/>
    </row>
    <row r="21" spans="1:62">
      <c r="A21" s="2" t="s">
        <v>91</v>
      </c>
      <c r="B21" s="2" t="s">
        <v>42</v>
      </c>
      <c r="C21" s="2" t="s">
        <v>92</v>
      </c>
      <c r="D21" s="2" t="s">
        <v>93</v>
      </c>
      <c r="E21" s="2" t="s">
        <v>94</v>
      </c>
      <c r="F21" s="2" t="s">
        <v>36</v>
      </c>
      <c r="G21" s="2" t="s">
        <v>37</v>
      </c>
      <c r="H21" s="2" t="s">
        <v>70</v>
      </c>
      <c r="I21" s="3">
        <v>1</v>
      </c>
      <c r="J21" s="3">
        <v>1</v>
      </c>
      <c r="K21" s="2" t="s">
        <v>40</v>
      </c>
      <c r="L21" s="2" t="s">
        <v>40</v>
      </c>
      <c r="M21" s="18">
        <f>1676*1000</f>
        <v>1676000</v>
      </c>
      <c r="N21" s="9" t="s">
        <v>39</v>
      </c>
      <c r="O21" s="9" t="s">
        <v>71</v>
      </c>
      <c r="P21" s="7">
        <v>133</v>
      </c>
      <c r="Q21" s="19">
        <v>106.4</v>
      </c>
      <c r="R21" s="33">
        <f t="shared" si="6"/>
        <v>0.13300000000000001</v>
      </c>
      <c r="S21" s="6">
        <f>$M21*R21</f>
        <v>222908</v>
      </c>
      <c r="T21" s="7">
        <f t="shared" si="8"/>
        <v>4458160</v>
      </c>
      <c r="U21" s="6">
        <f>M21*0.025</f>
        <v>41900</v>
      </c>
      <c r="V21" s="8">
        <f>U21*20</f>
        <v>838000</v>
      </c>
      <c r="W21" s="14">
        <v>45084</v>
      </c>
      <c r="X21" s="14">
        <v>46131</v>
      </c>
      <c r="Y21" s="6" t="s">
        <v>49</v>
      </c>
    </row>
    <row r="22" spans="1:62">
      <c r="A22" s="2" t="s">
        <v>95</v>
      </c>
      <c r="B22" s="2" t="s">
        <v>32</v>
      </c>
      <c r="C22" s="2" t="s">
        <v>73</v>
      </c>
      <c r="D22" s="2" t="s">
        <v>96</v>
      </c>
      <c r="E22" s="2" t="s">
        <v>97</v>
      </c>
      <c r="F22" s="2" t="s">
        <v>46</v>
      </c>
      <c r="G22" s="2"/>
      <c r="H22" s="2" t="s">
        <v>38</v>
      </c>
      <c r="I22" s="3">
        <v>5</v>
      </c>
      <c r="J22" s="3">
        <v>0</v>
      </c>
      <c r="K22" s="25">
        <v>0</v>
      </c>
      <c r="L22" s="29">
        <v>0</v>
      </c>
      <c r="M22" s="18">
        <v>0</v>
      </c>
      <c r="N22" s="9" t="s">
        <v>40</v>
      </c>
      <c r="O22" s="9" t="s">
        <v>40</v>
      </c>
      <c r="P22" s="7">
        <v>168.75</v>
      </c>
      <c r="Q22" s="9" t="s">
        <v>40</v>
      </c>
      <c r="R22" s="33">
        <f t="shared" si="6"/>
        <v>0.16875000000000001</v>
      </c>
      <c r="S22" s="6">
        <f>M22*R22</f>
        <v>0</v>
      </c>
      <c r="T22" s="8">
        <f t="shared" si="8"/>
        <v>0</v>
      </c>
      <c r="U22" s="6">
        <v>0</v>
      </c>
      <c r="V22" s="8">
        <v>0</v>
      </c>
      <c r="W22" s="2" t="s">
        <v>40</v>
      </c>
      <c r="X22" s="2" t="s">
        <v>40</v>
      </c>
      <c r="Y22" s="6" t="s">
        <v>40</v>
      </c>
    </row>
    <row r="23" spans="1:62">
      <c r="A23" s="2" t="s">
        <v>98</v>
      </c>
      <c r="B23" s="2" t="s">
        <v>42</v>
      </c>
      <c r="C23" s="2" t="s">
        <v>99</v>
      </c>
      <c r="D23" s="2" t="s">
        <v>100</v>
      </c>
      <c r="E23" s="2" t="s">
        <v>101</v>
      </c>
      <c r="F23" s="2" t="s">
        <v>46</v>
      </c>
      <c r="G23" s="2"/>
      <c r="H23" s="2" t="s">
        <v>70</v>
      </c>
      <c r="I23" s="3">
        <v>4.9390000000000001</v>
      </c>
      <c r="J23" s="3">
        <f>I23</f>
        <v>4.9390000000000001</v>
      </c>
      <c r="K23" s="2" t="s">
        <v>40</v>
      </c>
      <c r="L23" s="2" t="s">
        <v>40</v>
      </c>
      <c r="M23" s="18">
        <f>32449.23*1000</f>
        <v>32449230</v>
      </c>
      <c r="N23" s="9" t="s">
        <v>39</v>
      </c>
      <c r="O23" s="9" t="s">
        <v>71</v>
      </c>
      <c r="P23" s="7">
        <v>133</v>
      </c>
      <c r="Q23" s="19">
        <v>106.4</v>
      </c>
      <c r="R23" s="33">
        <f t="shared" si="6"/>
        <v>0.13300000000000001</v>
      </c>
      <c r="S23" s="6">
        <f>$M23*R23</f>
        <v>4315747.59</v>
      </c>
      <c r="T23" s="8">
        <f>S23*20</f>
        <v>86314951.799999997</v>
      </c>
      <c r="U23" s="34">
        <f>$M23*0.025</f>
        <v>811230.75</v>
      </c>
      <c r="V23" s="34">
        <f>U23*20</f>
        <v>16224615</v>
      </c>
      <c r="W23" s="14">
        <v>45436</v>
      </c>
      <c r="X23" s="14">
        <v>46022</v>
      </c>
      <c r="Y23" s="6" t="s">
        <v>49</v>
      </c>
    </row>
    <row r="24" spans="1:62">
      <c r="A24" s="2" t="s">
        <v>102</v>
      </c>
      <c r="B24" s="2" t="s">
        <v>42</v>
      </c>
      <c r="C24" s="2" t="s">
        <v>103</v>
      </c>
      <c r="D24" s="2" t="s">
        <v>68</v>
      </c>
      <c r="E24" s="2" t="s">
        <v>104</v>
      </c>
      <c r="F24" s="2" t="s">
        <v>36</v>
      </c>
      <c r="G24" s="2"/>
      <c r="H24" s="2" t="s">
        <v>70</v>
      </c>
      <c r="I24" s="3">
        <v>4.25</v>
      </c>
      <c r="J24" s="3">
        <f>I24</f>
        <v>4.25</v>
      </c>
      <c r="K24" s="2" t="s">
        <v>40</v>
      </c>
      <c r="L24" s="2" t="s">
        <v>40</v>
      </c>
      <c r="M24" s="18">
        <f>7695*1000</f>
        <v>7695000</v>
      </c>
      <c r="N24" s="9" t="s">
        <v>39</v>
      </c>
      <c r="O24" s="9" t="s">
        <v>39</v>
      </c>
      <c r="P24" s="7">
        <v>130</v>
      </c>
      <c r="Q24" s="19">
        <v>130</v>
      </c>
      <c r="R24" s="33">
        <f t="shared" si="6"/>
        <v>0.13</v>
      </c>
      <c r="S24" s="6">
        <f t="shared" ref="S24:S25" si="11">$M24*R24</f>
        <v>1000350</v>
      </c>
      <c r="T24" s="8">
        <f t="shared" ref="T24:T25" si="12">S24*20</f>
        <v>20007000</v>
      </c>
      <c r="U24" s="34">
        <f t="shared" ref="U24:U25" si="13">$M24*0.025</f>
        <v>192375</v>
      </c>
      <c r="V24" s="34">
        <f t="shared" ref="V24:V25" si="14">U24*20</f>
        <v>3847500</v>
      </c>
      <c r="W24" s="14">
        <v>45436</v>
      </c>
      <c r="X24" s="14">
        <v>46508</v>
      </c>
      <c r="Y24" s="6" t="s">
        <v>49</v>
      </c>
    </row>
    <row r="25" spans="1:62">
      <c r="A25" s="2" t="s">
        <v>105</v>
      </c>
      <c r="B25" s="2" t="s">
        <v>42</v>
      </c>
      <c r="C25" s="2" t="s">
        <v>106</v>
      </c>
      <c r="D25" s="2" t="s">
        <v>57</v>
      </c>
      <c r="E25" s="2" t="s">
        <v>107</v>
      </c>
      <c r="F25" s="2" t="s">
        <v>36</v>
      </c>
      <c r="G25" s="2"/>
      <c r="H25" s="2" t="s">
        <v>70</v>
      </c>
      <c r="I25" s="3">
        <v>2</v>
      </c>
      <c r="J25" s="3">
        <f>I25</f>
        <v>2</v>
      </c>
      <c r="K25" s="2" t="s">
        <v>40</v>
      </c>
      <c r="L25" s="2" t="s">
        <v>40</v>
      </c>
      <c r="M25" s="18">
        <f>2960.88*1000</f>
        <v>2960880</v>
      </c>
      <c r="N25" s="9" t="s">
        <v>39</v>
      </c>
      <c r="O25" s="9" t="s">
        <v>39</v>
      </c>
      <c r="P25" s="7">
        <v>133</v>
      </c>
      <c r="Q25" s="19">
        <v>133</v>
      </c>
      <c r="R25" s="33">
        <f t="shared" si="6"/>
        <v>0.13300000000000001</v>
      </c>
      <c r="S25" s="6">
        <f t="shared" si="11"/>
        <v>393797.04000000004</v>
      </c>
      <c r="T25" s="8">
        <f t="shared" si="12"/>
        <v>7875940.8000000007</v>
      </c>
      <c r="U25" s="34">
        <f t="shared" si="13"/>
        <v>74022</v>
      </c>
      <c r="V25" s="34">
        <f t="shared" si="14"/>
        <v>1480440</v>
      </c>
      <c r="W25" s="14">
        <v>45436</v>
      </c>
      <c r="X25" s="14">
        <v>46203</v>
      </c>
      <c r="Y25" s="6" t="s">
        <v>49</v>
      </c>
    </row>
    <row r="26" spans="1:62">
      <c r="A26" s="2" t="s">
        <v>108</v>
      </c>
      <c r="B26" s="3" t="s">
        <v>42</v>
      </c>
      <c r="C26" s="3" t="s">
        <v>109</v>
      </c>
      <c r="D26" s="2" t="s">
        <v>110</v>
      </c>
      <c r="E26" s="2" t="s">
        <v>111</v>
      </c>
      <c r="F26" s="2" t="s">
        <v>36</v>
      </c>
      <c r="G26" s="2" t="s">
        <v>37</v>
      </c>
      <c r="H26" s="2" t="s">
        <v>70</v>
      </c>
      <c r="I26" s="3">
        <v>1.9</v>
      </c>
      <c r="J26" s="3">
        <v>1.9</v>
      </c>
      <c r="K26" s="2">
        <v>0</v>
      </c>
      <c r="L26" s="2">
        <v>0</v>
      </c>
      <c r="M26" s="18">
        <v>3899853</v>
      </c>
      <c r="N26" s="9" t="s">
        <v>39</v>
      </c>
      <c r="O26" s="9" t="s">
        <v>39</v>
      </c>
      <c r="P26" s="7">
        <v>125</v>
      </c>
      <c r="Q26" s="19">
        <v>125</v>
      </c>
      <c r="R26" s="33">
        <f t="shared" ref="R26" si="15">P26/1000</f>
        <v>0.125</v>
      </c>
      <c r="S26" s="6">
        <f t="shared" ref="S26" si="16">$M26*R26</f>
        <v>487481.625</v>
      </c>
      <c r="T26" s="8">
        <f t="shared" ref="T26" si="17">S26*20</f>
        <v>9749632.5</v>
      </c>
      <c r="U26" s="34">
        <f t="shared" ref="U26" si="18">$M26*0.025</f>
        <v>97496.325000000012</v>
      </c>
      <c r="V26" s="34">
        <f t="shared" ref="V26" si="19">U26*20</f>
        <v>1949926.5000000002</v>
      </c>
      <c r="W26" s="14">
        <v>45845</v>
      </c>
      <c r="X26" s="14">
        <v>46022</v>
      </c>
      <c r="Y26" s="6" t="s">
        <v>49</v>
      </c>
      <c r="BI26" s="20"/>
      <c r="BJ26"/>
    </row>
    <row r="27" spans="1:62">
      <c r="A27" s="11" t="s">
        <v>112</v>
      </c>
    </row>
    <row r="28" spans="1:62">
      <c r="A28" s="36" t="s">
        <v>113</v>
      </c>
      <c r="B28" s="36"/>
      <c r="C28" s="36"/>
      <c r="D28" s="36"/>
      <c r="E28" s="36"/>
    </row>
  </sheetData>
  <mergeCells count="1">
    <mergeCell ref="A28:E28"/>
  </mergeCells>
  <conditionalFormatting sqref="P17:Q18 A17:F19 G21:H21 J20:J22 K21:L21 J17:L19 F20:F25 N17:O25 P19:P25 A20:C26 N26:P26 I26">
    <cfRule type="expression" dxfId="24" priority="40">
      <formula>$N17="Disqualified"</formula>
    </cfRule>
  </conditionalFormatting>
  <conditionalFormatting sqref="G17:I18 G19 I19:I25">
    <cfRule type="expression" dxfId="23" priority="35">
      <formula>$N17="Disqualified"</formula>
    </cfRule>
  </conditionalFormatting>
  <conditionalFormatting sqref="M17:M18">
    <cfRule type="expression" dxfId="22" priority="33">
      <formula>$N17="Disqualified"</formula>
    </cfRule>
  </conditionalFormatting>
  <conditionalFormatting sqref="Q13:Q14">
    <cfRule type="expression" dxfId="21" priority="12">
      <formula>$N13="Disqualified"</formula>
    </cfRule>
  </conditionalFormatting>
  <conditionalFormatting sqref="M16 P9:Q12 A9:C16 P13:P14 R13:R14 P15:R16 J9:L16">
    <cfRule type="expression" dxfId="20" priority="21">
      <formula>$N9="Disqualified"</formula>
    </cfRule>
  </conditionalFormatting>
  <conditionalFormatting sqref="B9:C16">
    <cfRule type="expression" dxfId="19" priority="20">
      <formula>$N9="Disqualified"</formula>
    </cfRule>
  </conditionalFormatting>
  <conditionalFormatting sqref="D9:D16">
    <cfRule type="expression" dxfId="18" priority="19">
      <formula>$N9="Disqualified"</formula>
    </cfRule>
  </conditionalFormatting>
  <conditionalFormatting sqref="E9:E16">
    <cfRule type="expression" dxfId="17" priority="18">
      <formula>$N9="Disqualified"</formula>
    </cfRule>
  </conditionalFormatting>
  <conditionalFormatting sqref="F9:F16">
    <cfRule type="expression" dxfId="16" priority="17">
      <formula>$N9="Disqualified"</formula>
    </cfRule>
  </conditionalFormatting>
  <conditionalFormatting sqref="G9:I16">
    <cfRule type="expression" dxfId="15" priority="16">
      <formula>$N9="Disqualified"</formula>
    </cfRule>
  </conditionalFormatting>
  <conditionalFormatting sqref="M9:M14">
    <cfRule type="expression" dxfId="14" priority="15">
      <formula>$N9="Disqualified"</formula>
    </cfRule>
  </conditionalFormatting>
  <conditionalFormatting sqref="N9:O16">
    <cfRule type="expression" dxfId="13" priority="14">
      <formula>$N9="Disqualified"</formula>
    </cfRule>
  </conditionalFormatting>
  <conditionalFormatting sqref="M15">
    <cfRule type="expression" dxfId="12" priority="13">
      <formula>$N15="Disqualified"</formula>
    </cfRule>
  </conditionalFormatting>
  <conditionalFormatting sqref="H19">
    <cfRule type="expression" dxfId="11" priority="11">
      <formula>$N19="Disqualified"</formula>
    </cfRule>
  </conditionalFormatting>
  <conditionalFormatting sqref="M19">
    <cfRule type="expression" dxfId="10" priority="10">
      <formula>$N19="Disqualified"</formula>
    </cfRule>
  </conditionalFormatting>
  <conditionalFormatting sqref="Q19">
    <cfRule type="expression" dxfId="9" priority="9">
      <formula>$N19="Disqualified"</formula>
    </cfRule>
  </conditionalFormatting>
  <conditionalFormatting sqref="A28">
    <cfRule type="expression" dxfId="8" priority="41">
      <formula>$N20="Disqualified"</formula>
    </cfRule>
  </conditionalFormatting>
  <conditionalFormatting sqref="Q20:Q21">
    <cfRule type="expression" dxfId="7" priority="8">
      <formula>$N20="Disqualified"</formula>
    </cfRule>
  </conditionalFormatting>
  <conditionalFormatting sqref="Q22">
    <cfRule type="expression" dxfId="6" priority="7">
      <formula>$N22="Disqualified"</formula>
    </cfRule>
  </conditionalFormatting>
  <conditionalFormatting sqref="K22">
    <cfRule type="expression" dxfId="5" priority="6">
      <formula>$N22="Disqualified"</formula>
    </cfRule>
  </conditionalFormatting>
  <conditionalFormatting sqref="L22">
    <cfRule type="expression" dxfId="4" priority="5">
      <formula>$N22="Disqualified"</formula>
    </cfRule>
  </conditionalFormatting>
  <conditionalFormatting sqref="Q23:Q25">
    <cfRule type="expression" dxfId="3" priority="4">
      <formula>$N23="Disqualified"</formula>
    </cfRule>
  </conditionalFormatting>
  <conditionalFormatting sqref="F26:G26">
    <cfRule type="expression" dxfId="2" priority="3">
      <formula>$N26="Disqualified"</formula>
    </cfRule>
  </conditionalFormatting>
  <conditionalFormatting sqref="Q26">
    <cfRule type="expression" dxfId="1" priority="2">
      <formula>$N26="Disqualified"</formula>
    </cfRule>
  </conditionalFormatting>
  <conditionalFormatting sqref="B26">
    <cfRule type="expression" dxfId="0" priority="1">
      <formula>$N26="Disqualified"</formula>
    </cfRule>
  </conditionalFormatting>
  <printOptions horizontalCentered="1"/>
  <pageMargins left="0.23958333333333334" right="0.25" top="1.25" bottom="0.5" header="0.5" footer="0.3"/>
  <pageSetup paperSize="5" scale="36" fitToHeight="0" orientation="landscape" r:id="rId1"/>
  <headerFooter>
    <oddHeader>&amp;L&amp;"-,Bold"The United Illuminating Company
Docket No. 24-08-04&amp;C&amp;"-,Bold"Attachment 1
Order No. 11 from Docket #24-08-04&amp;R&amp;"-,Bold"Page 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739791ef9eabf5e8c9b97062d318d782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3ace95a9ee5855646fe72d80ed9d04c6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Props1.xml><?xml version="1.0" encoding="utf-8"?>
<ds:datastoreItem xmlns:ds="http://schemas.openxmlformats.org/officeDocument/2006/customXml" ds:itemID="{6BD17F9F-AA0C-4543-9C53-54A4FDFC3E9C}"/>
</file>

<file path=customXml/itemProps2.xml><?xml version="1.0" encoding="utf-8"?>
<ds:datastoreItem xmlns:ds="http://schemas.openxmlformats.org/officeDocument/2006/customXml" ds:itemID="{66116A2D-E154-4ACC-831F-CA1175323E32}"/>
</file>

<file path=customXml/itemProps3.xml><?xml version="1.0" encoding="utf-8"?>
<ds:datastoreItem xmlns:ds="http://schemas.openxmlformats.org/officeDocument/2006/customXml" ds:itemID="{1736A622-6A40-41D4-8F5D-38F53CFADD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E Perbeck</dc:creator>
  <cp:keywords/>
  <dc:description/>
  <cp:lastModifiedBy/>
  <cp:revision/>
  <dcterms:created xsi:type="dcterms:W3CDTF">2020-10-22T18:26:58Z</dcterms:created>
  <dcterms:modified xsi:type="dcterms:W3CDTF">2025-08-12T14:31:44Z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0x010100A05AFF6C3A27C945B81A5CD357C78DA9</vt:lpwstr>
  </property>
  <property fmtid="{D5CDD505-2E9C-101B-9397-08002B2CF9AE}" pid="3" name="MSIP_Label_624b1752-a977-4927-b9e6-e48a43684aee_Enabled">
    <vt:lpwstr>true</vt:lpwstr>
  </property>
  <property fmtid="{D5CDD505-2E9C-101B-9397-08002B2CF9AE}" pid="4" name="MSIP_Label_624b1752-a977-4927-b9e6-e48a43684aee_SetDate">
    <vt:lpwstr>2021-07-12T19:17:24Z</vt:lpwstr>
  </property>
  <property fmtid="{D5CDD505-2E9C-101B-9397-08002B2CF9AE}" pid="5" name="MSIP_Label_624b1752-a977-4927-b9e6-e48a43684aee_Method">
    <vt:lpwstr>Privileged</vt:lpwstr>
  </property>
  <property fmtid="{D5CDD505-2E9C-101B-9397-08002B2CF9AE}" pid="6" name="MSIP_Label_624b1752-a977-4927-b9e6-e48a43684aee_Name">
    <vt:lpwstr>Public</vt:lpwstr>
  </property>
  <property fmtid="{D5CDD505-2E9C-101B-9397-08002B2CF9AE}" pid="7" name="MSIP_Label_624b1752-a977-4927-b9e6-e48a43684aee_SiteId">
    <vt:lpwstr>031a09bc-a2bf-44df-888e-4e09355b7a24</vt:lpwstr>
  </property>
  <property fmtid="{D5CDD505-2E9C-101B-9397-08002B2CF9AE}" pid="8" name="MSIP_Label_624b1752-a977-4927-b9e6-e48a43684aee_ActionId">
    <vt:lpwstr>32992da9-bd7f-44d2-96ff-8c78b2f6dab4</vt:lpwstr>
  </property>
  <property fmtid="{D5CDD505-2E9C-101B-9397-08002B2CF9AE}" pid="9" name="MSIP_Label_624b1752-a977-4927-b9e6-e48a43684aee_ContentBits">
    <vt:lpwstr>0</vt:lpwstr>
  </property>
</Properties>
</file>