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7/"/>
    </mc:Choice>
  </mc:AlternateContent>
  <xr:revisionPtr revIDLastSave="0" documentId="8_{08AAA9FA-6F80-433C-944D-DE4C0A9D935D}" xr6:coauthVersionLast="47" xr6:coauthVersionMax="47" xr10:uidLastSave="{00000000-0000-0000-0000-000000000000}"/>
  <bookViews>
    <workbookView xWindow="-120" yWindow="-120" windowWidth="29040" windowHeight="15720" tabRatio="838" firstSheet="1" activeTab="1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7" l="1"/>
  <c r="H17" i="7"/>
  <c r="F17" i="7"/>
  <c r="D17" i="7"/>
  <c r="B17" i="7"/>
  <c r="A17" i="7"/>
  <c r="F16" i="7"/>
  <c r="D16" i="7"/>
  <c r="D18" i="7" s="1"/>
  <c r="B16" i="7"/>
  <c r="H16" i="7" s="1"/>
  <c r="A16" i="7"/>
  <c r="D15" i="7"/>
  <c r="F15" i="7" s="1"/>
  <c r="H15" i="7" s="1"/>
  <c r="F9" i="7"/>
  <c r="G8" i="7" s="1"/>
  <c r="D9" i="7"/>
  <c r="F8" i="7"/>
  <c r="D8" i="7"/>
  <c r="H8" i="7" s="1"/>
  <c r="B8" i="7"/>
  <c r="F7" i="7"/>
  <c r="D7" i="7"/>
  <c r="H7" i="7" s="1"/>
  <c r="B7" i="7"/>
  <c r="B9" i="7" s="1"/>
  <c r="F6" i="7"/>
  <c r="H6" i="7" s="1"/>
  <c r="D6" i="7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H9" i="7" l="1"/>
  <c r="I8" i="7" s="1"/>
  <c r="A11" i="7" s="1"/>
  <c r="I17" i="7"/>
  <c r="E17" i="7"/>
  <c r="E16" i="7"/>
  <c r="C17" i="7"/>
  <c r="C7" i="7"/>
  <c r="C8" i="7"/>
  <c r="H18" i="7"/>
  <c r="I16" i="7"/>
  <c r="A20" i="7" s="1"/>
  <c r="A21" i="7"/>
  <c r="B18" i="7"/>
  <c r="C16" i="7" s="1"/>
  <c r="E7" i="7"/>
  <c r="E8" i="7"/>
  <c r="G7" i="7"/>
  <c r="F18" i="7"/>
  <c r="G17" i="7" s="1"/>
  <c r="C26" i="5"/>
  <c r="B26" i="5"/>
  <c r="D25" i="5"/>
  <c r="D24" i="5"/>
  <c r="I7" i="7" l="1"/>
  <c r="A10" i="7" s="1"/>
  <c r="G16" i="7"/>
  <c r="D26" i="5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<sst xmlns="http://schemas.openxmlformats.org/spreadsheetml/2006/main" count="133" uniqueCount="74">
  <si>
    <t>Electric Supplier MWh Load and Customer Count</t>
  </si>
  <si>
    <t>Data as of July 31, 2025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</si>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</sst>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164" fontId="8" fillId="0" borderId="2" xfId="2" applyNumberFormat="1" applyFont="1" applyFill="1" applyBorder="1" applyAlignment="1" applyProtection="1">
      <alignment horizontal="center"/>
    </xf>
    <xf numFmtId="3" fontId="0" fillId="0" borderId="2" xfId="0" applyNumberForma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User\WRK_GRP\File_output_data\Billing_Data\Daily_Load_Ufe\2025_Total\2025_07_%20Month_total_load_by_segment.xlsx" TargetMode="External"/><Relationship Id="rId1" Type="http://schemas.openxmlformats.org/officeDocument/2006/relationships/externalLinkPath" Target="file:///I:\User\WRK_GRP\File_output_data\Billing_Data\Daily_Load_Ufe\2025_Total\2025_07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berdrolaus.sharepoint.com/sites/LoadSettlementandSupplierRelations/Documentos%20compartidos/Regulatory/06-10-22_Switch_reports_and_letters/Customer_count_files/2025/202507_July_2025_customer_count_calculation.xlsx" TargetMode="External"/><Relationship Id="rId2" Type="http://schemas.microsoft.com/office/2019/04/relationships/externalLinkLongPath" Target="/sites/LoadSettlementandSupplierRelations/Documentos%20compartidos/Regulatory/06-10-22_Switch_reports_and_letters/Customer_count_files/2025/202507_July_2025_customer_count_calculation.xlsx?7CE66712" TargetMode="External"/><Relationship Id="rId1" Type="http://schemas.openxmlformats.org/officeDocument/2006/relationships/externalLinkPath" Target="file:///\\7CE66712\202507_July_2025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&amp;40235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52027.162000000048</v>
          </cell>
        </row>
        <row r="25">
          <cell r="H25">
            <v>114494.11599999991</v>
          </cell>
        </row>
        <row r="26">
          <cell r="H26">
            <v>106716.10400000001</v>
          </cell>
        </row>
        <row r="29">
          <cell r="H29">
            <v>185140.576</v>
          </cell>
        </row>
        <row r="30">
          <cell r="H30">
            <v>61594.725000000006</v>
          </cell>
        </row>
        <row r="31">
          <cell r="H31">
            <v>4519.0290000000005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53593</v>
          </cell>
        </row>
        <row r="19">
          <cell r="B19">
            <v>18060</v>
          </cell>
        </row>
        <row r="20">
          <cell r="B20">
            <v>194</v>
          </cell>
        </row>
        <row r="22">
          <cell r="B22">
            <v>258261</v>
          </cell>
        </row>
        <row r="23">
          <cell r="B23">
            <v>20037</v>
          </cell>
        </row>
        <row r="24">
          <cell r="B24">
            <v>26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view="pageLayout" zoomScale="106" zoomScaleNormal="100" zoomScalePageLayoutView="106" workbookViewId="0">
      <selection activeCell="A2" sqref="A2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5.5" customHeight="1">
      <c r="A6" s="21"/>
      <c r="B6" s="22" t="s">
        <v>7</v>
      </c>
      <c r="C6" s="23" t="s">
        <v>8</v>
      </c>
      <c r="D6" s="22" t="str">
        <f>B6</f>
        <v>MWh</v>
      </c>
      <c r="E6" s="23" t="s">
        <v>8</v>
      </c>
      <c r="F6" s="22" t="str">
        <f>D6</f>
        <v>MWh</v>
      </c>
      <c r="G6" s="23" t="s">
        <v>8</v>
      </c>
      <c r="H6" s="22" t="str">
        <f>F6</f>
        <v>MWh</v>
      </c>
      <c r="I6" s="23" t="s">
        <v>9</v>
      </c>
    </row>
    <row r="7" spans="1:9" ht="18" customHeight="1">
      <c r="A7" s="24" t="s">
        <v>10</v>
      </c>
      <c r="B7" s="44">
        <f>[1]Check!$H$24</f>
        <v>52027.162000000048</v>
      </c>
      <c r="C7" s="66">
        <f>IF(B7=0,0,B7/$B$9)</f>
        <v>0.21936863098976825</v>
      </c>
      <c r="D7" s="44">
        <f>[1]Check!$H$25</f>
        <v>114494.11599999991</v>
      </c>
      <c r="E7" s="66">
        <f>IF(D7=0,0,D7/$D$9)</f>
        <v>0.65020653977727061</v>
      </c>
      <c r="F7" s="44">
        <f>[1]Check!$H$26</f>
        <v>106716.10400000001</v>
      </c>
      <c r="G7" s="66">
        <f>IF(F7=0,0,F7/$F$9)</f>
        <v>0.95937408552386061</v>
      </c>
      <c r="H7" s="67">
        <f>IF(B7+D7+F7=0,0,B7+D7+F7)</f>
        <v>273237.38199999998</v>
      </c>
      <c r="I7" s="25">
        <f>IF(H7=0,0,H7/$H$9)</f>
        <v>0.52095652943320481</v>
      </c>
    </row>
    <row r="8" spans="1:9" ht="18" customHeight="1">
      <c r="A8" s="24" t="s">
        <v>11</v>
      </c>
      <c r="B8" s="68">
        <f>[1]Check!$H$29</f>
        <v>185140.576</v>
      </c>
      <c r="C8" s="66">
        <f>IF(B8=0,0,B8/$B$9)</f>
        <v>0.78063136901023178</v>
      </c>
      <c r="D8" s="68">
        <f>[1]Check!$H$30</f>
        <v>61594.725000000006</v>
      </c>
      <c r="E8" s="66">
        <f>IF(D8=0,0,D8/$D$9)</f>
        <v>0.3497934602227295</v>
      </c>
      <c r="F8" s="68">
        <f>[1]Check!$H$31</f>
        <v>4519.0290000000005</v>
      </c>
      <c r="G8" s="66">
        <f>IF(F8=0,0,F8/$F$9)</f>
        <v>4.0625914476139481E-2</v>
      </c>
      <c r="H8" s="68">
        <f>IF(B8+D8+F8=0,0,B8+D8+F8)</f>
        <v>251254.33000000002</v>
      </c>
      <c r="I8" s="25">
        <f>IF(H8=0,0,H8/$H$9)</f>
        <v>0.47904347056679514</v>
      </c>
    </row>
    <row r="9" spans="1:9" ht="18" customHeight="1">
      <c r="A9" s="24" t="s">
        <v>12</v>
      </c>
      <c r="B9" s="26">
        <f>SUM(B7:B8)</f>
        <v>237167.73800000004</v>
      </c>
      <c r="C9" s="27"/>
      <c r="D9" s="26">
        <f>SUM(D7:D8)</f>
        <v>176088.8409999999</v>
      </c>
      <c r="E9" s="27"/>
      <c r="F9" s="26">
        <f>SUM(F7:F8)</f>
        <v>111235.133</v>
      </c>
      <c r="G9" s="27"/>
      <c r="H9" s="26">
        <f>IF(H7+H8=0,0,H7+H8)</f>
        <v>524491.71200000006</v>
      </c>
      <c r="I9" s="28"/>
    </row>
    <row r="10" spans="1:9" ht="18" customHeight="1">
      <c r="A10" s="43" t="str">
        <f>"As the above table shows, "&amp;TEXT(H7,"0,000")&amp; " MWh, or "&amp;TEXT(I7,"0.0%")&amp;" of UI's total load is served by electric suppliers"</f>
        <v>As the above table shows, 273,237 MWh, or 52.1% of UI's total load is served by electric suppliers</v>
      </c>
    </row>
    <row r="11" spans="1:9" ht="18" customHeight="1">
      <c r="A11" s="43" t="str">
        <f>"while "&amp;TEXT(H8,"0,000")&amp;" MHh, or "&amp;TEXT(I8,"0.0%")&amp;" of the load is provided under Standard Service or Last Resort service through UI."</f>
        <v>while 251,254 MHh, or 47.9% of the load is provided under Standard Service or Last Resort service through UI.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13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7" customHeight="1">
      <c r="A15" s="21"/>
      <c r="B15" s="22" t="s">
        <v>14</v>
      </c>
      <c r="C15" s="23" t="s">
        <v>8</v>
      </c>
      <c r="D15" s="22" t="str">
        <f>B15</f>
        <v>Customers</v>
      </c>
      <c r="E15" s="23" t="s">
        <v>8</v>
      </c>
      <c r="F15" s="22" t="str">
        <f>D15</f>
        <v>Customers</v>
      </c>
      <c r="G15" s="23" t="s">
        <v>8</v>
      </c>
      <c r="H15" s="22" t="str">
        <f>F15</f>
        <v>Customers</v>
      </c>
      <c r="I15" s="23" t="s">
        <v>9</v>
      </c>
    </row>
    <row r="16" spans="1:9" ht="18" customHeight="1">
      <c r="A16" s="24" t="str">
        <f>A7</f>
        <v>Suppliers</v>
      </c>
      <c r="B16" s="44">
        <f>[2]Summary!$B$18</f>
        <v>53593</v>
      </c>
      <c r="C16" s="66">
        <f>IF(B16=0,0,B16/$B$18)</f>
        <v>0.1718528542202441</v>
      </c>
      <c r="D16" s="44">
        <f>[2]Summary!$B$19</f>
        <v>18060</v>
      </c>
      <c r="E16" s="66">
        <f>IF(D16=0,0,D16/$D$18)</f>
        <v>0.47405307504527916</v>
      </c>
      <c r="F16" s="44">
        <f>[2]Summary!$B$20</f>
        <v>194</v>
      </c>
      <c r="G16" s="66">
        <f>IF(F16=0,0,F16/$F$18)</f>
        <v>0.88181818181818183</v>
      </c>
      <c r="H16" s="67">
        <f>IF(B16+D16+F16=0,0,B16+D16+F16)</f>
        <v>71847</v>
      </c>
      <c r="I16" s="25">
        <f>IF(H16=0,0,H16/$H$18)</f>
        <v>0.20517689928634866</v>
      </c>
    </row>
    <row r="17" spans="1:9" ht="18" customHeight="1">
      <c r="A17" s="24" t="str">
        <f>A8</f>
        <v>UI</v>
      </c>
      <c r="B17" s="45">
        <f>[2]Summary!$B$22</f>
        <v>258261</v>
      </c>
      <c r="C17" s="66">
        <f>IF(B17=0,0,B17/$B$18)</f>
        <v>0.8281471457797559</v>
      </c>
      <c r="D17" s="45">
        <f>[2]Summary!$B$23</f>
        <v>20037</v>
      </c>
      <c r="E17" s="66">
        <f>IF(D17=0,0,D17/$D$18)</f>
        <v>0.52594692495472084</v>
      </c>
      <c r="F17" s="45">
        <f>[2]Summary!$B$24</f>
        <v>26</v>
      </c>
      <c r="G17" s="66">
        <f>IF(F17=0,0,F17/$F$18)</f>
        <v>0.11818181818181818</v>
      </c>
      <c r="H17" s="45">
        <f>IF(B17+D17+F17=0,0,B17+D17+F17)</f>
        <v>278324</v>
      </c>
      <c r="I17" s="25">
        <f>IF(H17=0,0,H17/$H$18)</f>
        <v>0.79482310071365136</v>
      </c>
    </row>
    <row r="18" spans="1:9" ht="18" customHeight="1">
      <c r="A18" s="24" t="str">
        <f>A9</f>
        <v>Total</v>
      </c>
      <c r="B18" s="26">
        <f>SUM(B16:B17)</f>
        <v>311854</v>
      </c>
      <c r="C18" s="36"/>
      <c r="D18" s="26">
        <f>SUM(D16:D17)</f>
        <v>38097</v>
      </c>
      <c r="E18" s="27"/>
      <c r="F18" s="26">
        <f>SUM(F16:F17)</f>
        <v>220</v>
      </c>
      <c r="G18" s="27"/>
      <c r="H18" s="26">
        <f>IF(H16+H17=0,0,H16+H17)</f>
        <v>350171</v>
      </c>
      <c r="I18" s="28"/>
    </row>
    <row r="19" spans="1:9" ht="18" customHeight="1">
      <c r="G19" s="32"/>
    </row>
    <row r="20" spans="1:9" ht="18" customHeight="1">
      <c r="A20" s="43" t="str">
        <f>"As the above table shows, "&amp;TEXT(H16,"0,000")&amp; " of UI's total customers, or "&amp;TEXT(I16,"0.0%")&amp;" are served by electric suppliers"</f>
        <v>As the above table shows, 71,847 of UI's total customers, or 20.5% are served by electric suppliers</v>
      </c>
      <c r="G20" s="32"/>
    </row>
    <row r="21" spans="1:9" ht="18" customHeight="1">
      <c r="A21" s="43" t="str">
        <f>"while "&amp;TEXT(H17,"0,000")&amp;" or "&amp;TEXT(I17,"0.0%")&amp;" of the customers continue to receive Standard Service or Last Resort service through UI."</f>
        <v>while 278,324 or 79.5% of the customers continue to receive Standard Service or Last Resort service through UI.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15</v>
      </c>
      <c r="I24" s="60"/>
    </row>
    <row r="25" spans="1:9" ht="13.5">
      <c r="A25" s="42" t="s">
        <v>16</v>
      </c>
    </row>
    <row r="26" spans="1:9" ht="13.5">
      <c r="A26" s="42" t="s">
        <v>17</v>
      </c>
    </row>
    <row r="27" spans="1:9">
      <c r="A27" s="43" t="s">
        <v>18</v>
      </c>
    </row>
    <row r="28" spans="1:9">
      <c r="A28" s="43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showGridLines="0" showZeros="0" tabSelected="1" showWhiteSpace="0" view="pageLayout" zoomScaleNormal="100" workbookViewId="0">
      <selection activeCell="F28" sqref="F6:F28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2.85546875" customWidth="1"/>
    <col min="7" max="16384" width="9.140625" style="1"/>
  </cols>
  <sheetData>
    <row r="1" spans="1:6" s="5" customFormat="1" ht="18" customHeight="1">
      <c r="A1" s="9" t="s">
        <v>20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July 31, 2025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21</v>
      </c>
      <c r="D4" s="8"/>
      <c r="E4" s="8"/>
      <c r="F4" s="10"/>
    </row>
    <row r="5" spans="1:6" s="5" customFormat="1" ht="25.5">
      <c r="A5" s="80"/>
      <c r="B5" s="3" t="s">
        <v>22</v>
      </c>
      <c r="C5" s="3" t="s">
        <v>23</v>
      </c>
      <c r="D5" s="3" t="s">
        <v>24</v>
      </c>
      <c r="E5" s="3" t="s">
        <v>12</v>
      </c>
      <c r="F5" s="3" t="s">
        <v>25</v>
      </c>
    </row>
    <row r="6" spans="1:6">
      <c r="A6" s="62">
        <v>1</v>
      </c>
      <c r="B6" s="74" t="s">
        <v>26</v>
      </c>
      <c r="C6" s="96">
        <v>1015</v>
      </c>
      <c r="D6" s="96">
        <v>4680</v>
      </c>
      <c r="E6" s="96">
        <v>5695</v>
      </c>
      <c r="F6" s="81">
        <f>IF(E6=0,"",E6/$E$29)</f>
        <v>7.9266765025192767E-2</v>
      </c>
    </row>
    <row r="7" spans="1:6" ht="14.25" customHeight="1">
      <c r="A7" s="62">
        <v>2</v>
      </c>
      <c r="B7" s="74" t="s">
        <v>27</v>
      </c>
      <c r="C7" s="96">
        <v>5</v>
      </c>
      <c r="D7" s="96">
        <v>193</v>
      </c>
      <c r="E7" s="96">
        <v>198</v>
      </c>
      <c r="F7" s="81">
        <f t="shared" ref="F7:F28" si="0">IF(E7=0,"",E7/$E$29)</f>
        <v>2.7558945522367286E-3</v>
      </c>
    </row>
    <row r="8" spans="1:6" ht="14.25" customHeight="1">
      <c r="A8" s="62">
        <v>3</v>
      </c>
      <c r="B8" s="74" t="s">
        <v>28</v>
      </c>
      <c r="C8" s="96">
        <v>18280</v>
      </c>
      <c r="D8" s="96">
        <v>1531</v>
      </c>
      <c r="E8" s="96">
        <v>19811</v>
      </c>
      <c r="F8" s="81">
        <f t="shared" si="0"/>
        <v>0.27574256047657492</v>
      </c>
    </row>
    <row r="9" spans="1:6" ht="14.25" customHeight="1">
      <c r="A9" s="62">
        <v>4</v>
      </c>
      <c r="B9" s="74" t="s">
        <v>29</v>
      </c>
      <c r="C9" s="96">
        <v>48</v>
      </c>
      <c r="D9" s="96">
        <v>485</v>
      </c>
      <c r="E9" s="96">
        <v>533</v>
      </c>
      <c r="F9" s="81">
        <f t="shared" si="0"/>
        <v>7.4186454360715979E-3</v>
      </c>
    </row>
    <row r="10" spans="1:6" ht="14.25" customHeight="1">
      <c r="A10" s="62">
        <v>5</v>
      </c>
      <c r="B10" s="74" t="s">
        <v>30</v>
      </c>
      <c r="C10" s="96">
        <v>11482</v>
      </c>
      <c r="D10" s="96">
        <v>460</v>
      </c>
      <c r="E10" s="96">
        <v>11942</v>
      </c>
      <c r="F10" s="81">
        <f t="shared" si="0"/>
        <v>0.16621663001419704</v>
      </c>
    </row>
    <row r="11" spans="1:6" ht="14.25" customHeight="1">
      <c r="A11" s="62">
        <v>6</v>
      </c>
      <c r="B11" s="74" t="s">
        <v>31</v>
      </c>
      <c r="C11" s="96">
        <v>6936</v>
      </c>
      <c r="D11" s="96">
        <v>927</v>
      </c>
      <c r="E11" s="96">
        <v>7863</v>
      </c>
      <c r="F11" s="81">
        <f t="shared" si="0"/>
        <v>0.10944241850624947</v>
      </c>
    </row>
    <row r="12" spans="1:6" ht="14.25" customHeight="1">
      <c r="A12" s="62">
        <v>7</v>
      </c>
      <c r="B12" s="74" t="s">
        <v>32</v>
      </c>
      <c r="C12" s="96">
        <v>48</v>
      </c>
      <c r="D12" s="96">
        <v>394</v>
      </c>
      <c r="E12" s="96">
        <v>442</v>
      </c>
      <c r="F12" s="81">
        <f t="shared" si="0"/>
        <v>6.1520474347910806E-3</v>
      </c>
    </row>
    <row r="13" spans="1:6" ht="14.25" customHeight="1">
      <c r="A13" s="62">
        <v>8</v>
      </c>
      <c r="B13" s="74" t="s">
        <v>33</v>
      </c>
      <c r="C13" s="96">
        <v>2</v>
      </c>
      <c r="D13" s="96">
        <v>75</v>
      </c>
      <c r="E13" s="96">
        <v>77</v>
      </c>
      <c r="F13" s="81">
        <f t="shared" si="0"/>
        <v>1.0717367703142833E-3</v>
      </c>
    </row>
    <row r="14" spans="1:6" ht="14.25" customHeight="1">
      <c r="A14" s="62">
        <v>9</v>
      </c>
      <c r="B14" s="74" t="s">
        <v>34</v>
      </c>
      <c r="C14" s="96">
        <v>2</v>
      </c>
      <c r="D14" s="96">
        <v>5</v>
      </c>
      <c r="E14" s="96">
        <v>7</v>
      </c>
      <c r="F14" s="81">
        <f t="shared" si="0"/>
        <v>9.7430615483116669E-5</v>
      </c>
    </row>
    <row r="15" spans="1:6" ht="14.25" customHeight="1">
      <c r="A15" s="62">
        <v>10</v>
      </c>
      <c r="B15" s="74" t="s">
        <v>35</v>
      </c>
      <c r="C15" s="96">
        <v>461</v>
      </c>
      <c r="D15" s="96">
        <v>461</v>
      </c>
      <c r="E15" s="96">
        <v>922</v>
      </c>
      <c r="F15" s="81">
        <f t="shared" si="0"/>
        <v>1.2833003925061938E-2</v>
      </c>
    </row>
    <row r="16" spans="1:6" ht="14.25" customHeight="1">
      <c r="A16" s="62">
        <v>11</v>
      </c>
      <c r="B16" s="74" t="s">
        <v>36</v>
      </c>
      <c r="C16" s="96">
        <v>181</v>
      </c>
      <c r="D16" s="96">
        <v>1046</v>
      </c>
      <c r="E16" s="96">
        <v>1227</v>
      </c>
      <c r="F16" s="81">
        <f t="shared" si="0"/>
        <v>1.7078195028254878E-2</v>
      </c>
    </row>
    <row r="17" spans="1:6" ht="14.25" customHeight="1">
      <c r="A17" s="62">
        <v>12</v>
      </c>
      <c r="B17" s="74" t="s">
        <v>37</v>
      </c>
      <c r="C17" s="96"/>
      <c r="D17" s="96">
        <v>8</v>
      </c>
      <c r="E17" s="96">
        <v>8</v>
      </c>
      <c r="F17" s="81">
        <f t="shared" si="0"/>
        <v>1.1134927483784762E-4</v>
      </c>
    </row>
    <row r="18" spans="1:6" ht="14.25" customHeight="1">
      <c r="A18" s="62">
        <v>13</v>
      </c>
      <c r="B18" s="74" t="s">
        <v>38</v>
      </c>
      <c r="C18" s="96">
        <v>2284</v>
      </c>
      <c r="D18" s="96">
        <v>198</v>
      </c>
      <c r="E18" s="96">
        <v>2482</v>
      </c>
      <c r="F18" s="81">
        <f t="shared" si="0"/>
        <v>3.4546112518442224E-2</v>
      </c>
    </row>
    <row r="19" spans="1:6" ht="14.25" customHeight="1">
      <c r="A19" s="62">
        <v>14</v>
      </c>
      <c r="B19" s="74" t="s">
        <v>39</v>
      </c>
      <c r="C19" s="96">
        <v>2</v>
      </c>
      <c r="D19" s="96">
        <v>221</v>
      </c>
      <c r="E19" s="96">
        <v>223</v>
      </c>
      <c r="F19" s="81">
        <f t="shared" si="0"/>
        <v>3.1038610361050025E-3</v>
      </c>
    </row>
    <row r="20" spans="1:6" ht="14.25" customHeight="1">
      <c r="A20" s="62">
        <v>15</v>
      </c>
      <c r="B20" s="74" t="s">
        <v>40</v>
      </c>
      <c r="C20" s="96">
        <v>982</v>
      </c>
      <c r="D20" s="96">
        <v>42</v>
      </c>
      <c r="E20" s="96">
        <v>1024</v>
      </c>
      <c r="F20" s="81">
        <f t="shared" si="0"/>
        <v>1.4252707179244496E-2</v>
      </c>
    </row>
    <row r="21" spans="1:6" ht="14.25" customHeight="1">
      <c r="A21" s="62">
        <v>16</v>
      </c>
      <c r="B21" s="74" t="s">
        <v>41</v>
      </c>
      <c r="C21" s="96">
        <v>60</v>
      </c>
      <c r="D21" s="96">
        <v>5</v>
      </c>
      <c r="E21" s="96">
        <v>65</v>
      </c>
      <c r="F21" s="81">
        <f t="shared" si="0"/>
        <v>9.0471285805751188E-4</v>
      </c>
    </row>
    <row r="22" spans="1:6" ht="14.25" customHeight="1">
      <c r="A22" s="62">
        <v>17</v>
      </c>
      <c r="B22" s="74" t="s">
        <v>42</v>
      </c>
      <c r="C22" s="96">
        <v>107</v>
      </c>
      <c r="D22" s="96">
        <v>2494</v>
      </c>
      <c r="E22" s="96">
        <v>2601</v>
      </c>
      <c r="F22" s="81">
        <f t="shared" si="0"/>
        <v>3.6202432981655208E-2</v>
      </c>
    </row>
    <row r="23" spans="1:6" ht="14.25" customHeight="1">
      <c r="A23" s="62">
        <v>18</v>
      </c>
      <c r="B23" s="74" t="s">
        <v>43</v>
      </c>
      <c r="C23" s="96">
        <v>114</v>
      </c>
      <c r="D23" s="96">
        <v>249</v>
      </c>
      <c r="E23" s="96">
        <v>363</v>
      </c>
      <c r="F23" s="81">
        <f t="shared" si="0"/>
        <v>5.0524733457673358E-3</v>
      </c>
    </row>
    <row r="24" spans="1:6" ht="14.25" customHeight="1">
      <c r="A24" s="62">
        <v>19</v>
      </c>
      <c r="B24" s="74" t="s">
        <v>44</v>
      </c>
      <c r="C24" s="96">
        <v>312</v>
      </c>
      <c r="D24" s="96">
        <v>1789</v>
      </c>
      <c r="E24" s="96">
        <v>2101</v>
      </c>
      <c r="F24" s="81">
        <f t="shared" si="0"/>
        <v>2.9243103304289732E-2</v>
      </c>
    </row>
    <row r="25" spans="1:6" ht="14.25" customHeight="1">
      <c r="A25" s="62">
        <v>20</v>
      </c>
      <c r="B25" s="74" t="s">
        <v>45</v>
      </c>
      <c r="C25" s="96">
        <v>1024</v>
      </c>
      <c r="D25" s="96">
        <v>1594</v>
      </c>
      <c r="E25" s="96">
        <v>2618</v>
      </c>
      <c r="F25" s="81">
        <f t="shared" si="0"/>
        <v>3.6439050190685635E-2</v>
      </c>
    </row>
    <row r="26" spans="1:6" ht="14.25" customHeight="1">
      <c r="A26" s="62">
        <v>21</v>
      </c>
      <c r="B26" s="74" t="s">
        <v>46</v>
      </c>
      <c r="C26" s="96"/>
      <c r="D26" s="96">
        <v>11</v>
      </c>
      <c r="E26" s="96">
        <v>11</v>
      </c>
      <c r="F26" s="81">
        <f t="shared" si="0"/>
        <v>1.5310525290204049E-4</v>
      </c>
    </row>
    <row r="27" spans="1:6" ht="14.25" customHeight="1">
      <c r="A27" s="62">
        <v>22</v>
      </c>
      <c r="B27" s="74" t="s">
        <v>47</v>
      </c>
      <c r="C27" s="96">
        <v>6837</v>
      </c>
      <c r="D27" s="96">
        <v>556</v>
      </c>
      <c r="E27" s="96">
        <v>7393</v>
      </c>
      <c r="F27" s="81">
        <f t="shared" si="0"/>
        <v>0.10290064860952593</v>
      </c>
    </row>
    <row r="28" spans="1:6" ht="14.25" customHeight="1">
      <c r="A28" s="62">
        <v>23</v>
      </c>
      <c r="B28" s="74" t="s">
        <v>48</v>
      </c>
      <c r="C28" s="96">
        <v>3411</v>
      </c>
      <c r="D28" s="96">
        <v>829</v>
      </c>
      <c r="E28" s="96">
        <v>4240</v>
      </c>
      <c r="F28" s="81">
        <f t="shared" si="0"/>
        <v>5.9015115664059238E-2</v>
      </c>
    </row>
    <row r="29" spans="1:6" ht="14.25" customHeight="1">
      <c r="A29" s="93">
        <v>24</v>
      </c>
      <c r="B29" s="94" t="s">
        <v>49</v>
      </c>
      <c r="C29" s="96">
        <v>53593</v>
      </c>
      <c r="D29" s="96">
        <v>18253</v>
      </c>
      <c r="E29" s="96">
        <v>71846</v>
      </c>
      <c r="F29" s="95">
        <f>IF(E29=0,"",E29/$E$29)</f>
        <v>1</v>
      </c>
    </row>
    <row r="30" spans="1:6">
      <c r="A30" s="63"/>
    </row>
    <row r="34" spans="1:2">
      <c r="B34" s="61"/>
    </row>
    <row r="35" spans="1:2">
      <c r="A35" t="s">
        <v>50</v>
      </c>
    </row>
    <row r="36" spans="1:2">
      <c r="A36" t="s">
        <v>51</v>
      </c>
    </row>
    <row r="37" spans="1:2">
      <c r="A37" t="s">
        <v>18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topLeftCell="A4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52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53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July 31, 2025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54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55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23</v>
      </c>
      <c r="C9" s="34"/>
      <c r="D9" s="16" t="s">
        <v>56</v>
      </c>
      <c r="E9" s="35"/>
      <c r="F9" s="16" t="s">
        <v>6</v>
      </c>
      <c r="G9" s="18"/>
    </row>
    <row r="10" spans="1:9" ht="15">
      <c r="A10" s="24" t="s">
        <v>57</v>
      </c>
      <c r="B10" s="22" t="s">
        <v>14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58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23</v>
      </c>
      <c r="C16" s="34"/>
      <c r="D16" s="16" t="s">
        <v>56</v>
      </c>
      <c r="E16" s="35"/>
      <c r="F16" s="16" t="s">
        <v>6</v>
      </c>
      <c r="G16" s="18"/>
    </row>
    <row r="17" spans="1:9" ht="15">
      <c r="A17" s="24" t="s">
        <v>59</v>
      </c>
      <c r="B17" s="22" t="s">
        <v>14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420</v>
      </c>
      <c r="C18" s="27">
        <f>IF(B18=0,0,B18/'Summary Load Customers '!$B$18)</f>
        <v>1.3467840720337082E-3</v>
      </c>
      <c r="D18" s="26">
        <f>REC_programs_detail!C26</f>
        <v>49</v>
      </c>
      <c r="E18" s="27">
        <f>IF(D18=0,0,D18/('Summary Load Customers '!$D$18+'Summary Load Customers '!$F$18))</f>
        <v>1.2788057520160764E-3</v>
      </c>
      <c r="F18" s="26">
        <f>B18+D18</f>
        <v>469</v>
      </c>
      <c r="G18" s="27">
        <f>IF(F18=0,0,F18/'Summary Load Customers '!$H$18)</f>
        <v>1.3393456339902505E-3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0,469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60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23</v>
      </c>
      <c r="C23" s="34"/>
      <c r="D23" s="16" t="s">
        <v>56</v>
      </c>
      <c r="E23" s="35"/>
      <c r="F23" s="16" t="s">
        <v>6</v>
      </c>
      <c r="G23" s="18"/>
    </row>
    <row r="24" spans="1:9" ht="15">
      <c r="A24" s="24" t="s">
        <v>61</v>
      </c>
      <c r="B24" s="22" t="s">
        <v>14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420</v>
      </c>
      <c r="C25" s="27">
        <f>IF(B25=0,0,B25/'Summary Load Customers '!$B$18)</f>
        <v>1.3467840720337082E-3</v>
      </c>
      <c r="D25" s="26">
        <f>D11+D18</f>
        <v>49</v>
      </c>
      <c r="E25" s="27">
        <f>IF(D25=0,0,D25/('Summary Load Customers '!$D$18+'Summary Load Customers '!$F$18))</f>
        <v>1.2788057520160764E-3</v>
      </c>
      <c r="F25" s="26">
        <f>B25+D25</f>
        <v>469</v>
      </c>
      <c r="G25" s="27">
        <f>IF(F25=0,0,F25/'Summary Load Customers '!$H$18)</f>
        <v>1.3393456339902505E-3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0,469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16</v>
      </c>
    </row>
    <row r="29" spans="1:9" ht="13.5">
      <c r="A29" s="42"/>
    </row>
    <row r="30" spans="1:9" ht="13.5">
      <c r="A30" s="42" t="s">
        <v>62</v>
      </c>
    </row>
    <row r="31" spans="1:9">
      <c r="A31" s="43" t="s">
        <v>63</v>
      </c>
    </row>
    <row r="33" spans="1:1">
      <c r="A33" s="43" t="s">
        <v>18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5" zoomScaleNormal="110" workbookViewId="0">
      <selection activeCell="B25" sqref="B25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64</v>
      </c>
      <c r="B1" s="102"/>
      <c r="C1" s="102"/>
      <c r="D1" s="102"/>
      <c r="E1" s="46"/>
      <c r="F1" s="46"/>
      <c r="G1" s="82"/>
      <c r="H1" s="82"/>
      <c r="I1" s="82"/>
    </row>
    <row r="2" spans="1:9" s="5" customFormat="1" ht="18" customHeight="1">
      <c r="A2" s="102" t="str">
        <f>'Summary Load Customers '!A2</f>
        <v>Data as of July 31, 2025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2.5">
      <c r="A4" s="49" t="s">
        <v>65</v>
      </c>
      <c r="B4" s="50" t="s">
        <v>23</v>
      </c>
      <c r="C4" s="49" t="s">
        <v>24</v>
      </c>
      <c r="D4" s="49" t="s">
        <v>6</v>
      </c>
      <c r="E4" s="46"/>
      <c r="F4" s="46"/>
      <c r="G4" s="82"/>
      <c r="H4" s="82"/>
      <c r="I4" s="82"/>
    </row>
    <row r="5" spans="1:9" s="47" customFormat="1" ht="15" customHeight="1">
      <c r="A5" s="84" t="s">
        <v>66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>
      <c r="A6" s="84" t="s">
        <v>67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>
      <c r="A7" s="84" t="s">
        <v>68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>
      <c r="A9" s="83"/>
      <c r="B9" s="88"/>
      <c r="C9" s="88"/>
      <c r="D9" s="88"/>
      <c r="E9" s="54"/>
      <c r="F9" s="54"/>
      <c r="G9" s="53"/>
      <c r="H9" s="83"/>
      <c r="I9" s="83"/>
    </row>
    <row r="10" spans="1:9" ht="22.5">
      <c r="A10" s="65" t="s">
        <v>69</v>
      </c>
      <c r="B10" s="49" t="s">
        <v>23</v>
      </c>
      <c r="C10" s="49" t="str">
        <f>C4</f>
        <v>Business</v>
      </c>
      <c r="D10" s="49" t="s">
        <v>6</v>
      </c>
      <c r="E10" s="89"/>
      <c r="F10" s="90"/>
      <c r="G10" s="53"/>
      <c r="H10" s="83"/>
      <c r="I10" s="83"/>
    </row>
    <row r="11" spans="1:9">
      <c r="A11" s="84" t="s">
        <v>66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>
      <c r="A12" s="84" t="s">
        <v>67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>
      <c r="A13" s="84" t="s">
        <v>68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2.5">
      <c r="A16" s="49" t="s">
        <v>70</v>
      </c>
      <c r="B16" s="49" t="s">
        <v>23</v>
      </c>
      <c r="C16" s="49" t="str">
        <f>C4</f>
        <v>Business</v>
      </c>
      <c r="D16" s="49" t="s">
        <v>6</v>
      </c>
      <c r="E16" s="89"/>
      <c r="F16" s="90"/>
      <c r="G16" s="53"/>
      <c r="H16" s="83"/>
      <c r="I16" s="83"/>
    </row>
    <row r="17" spans="1:8">
      <c r="A17" s="84" t="s">
        <v>66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>
      <c r="A18" s="84" t="s">
        <v>67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>
      <c r="A19" s="84" t="s">
        <v>68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>
      <c r="A21" s="83"/>
      <c r="B21" s="83"/>
      <c r="C21" s="83"/>
      <c r="D21" s="83"/>
      <c r="E21" s="53"/>
      <c r="F21" s="57"/>
      <c r="G21" s="57"/>
      <c r="H21" s="83"/>
    </row>
    <row r="22" spans="1:8" ht="22.5">
      <c r="A22" s="65" t="s">
        <v>71</v>
      </c>
      <c r="B22" s="49" t="s">
        <v>23</v>
      </c>
      <c r="C22" s="49" t="s">
        <v>24</v>
      </c>
      <c r="D22" s="49" t="s">
        <v>6</v>
      </c>
      <c r="E22" s="83"/>
      <c r="F22" s="57"/>
      <c r="G22" s="57"/>
      <c r="H22" s="83"/>
    </row>
    <row r="23" spans="1:8">
      <c r="A23" s="84" t="s">
        <v>66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>
      <c r="A24" s="84" t="s">
        <v>67</v>
      </c>
      <c r="B24" s="71">
        <v>131</v>
      </c>
      <c r="C24" s="71">
        <v>11</v>
      </c>
      <c r="D24" s="72">
        <f>SUM(B24:C24)</f>
        <v>142</v>
      </c>
      <c r="E24" s="83"/>
      <c r="F24" s="57"/>
      <c r="G24" s="57"/>
      <c r="H24" s="83"/>
    </row>
    <row r="25" spans="1:8">
      <c r="A25" s="84" t="s">
        <v>68</v>
      </c>
      <c r="B25" s="71">
        <v>289</v>
      </c>
      <c r="C25" s="71">
        <v>38</v>
      </c>
      <c r="D25" s="72">
        <f>SUM(B25:C25)</f>
        <v>327</v>
      </c>
      <c r="E25" s="83"/>
      <c r="F25" s="83"/>
      <c r="G25" s="83"/>
      <c r="H25" s="83"/>
    </row>
    <row r="26" spans="1:8">
      <c r="A26" s="55" t="str">
        <f>A20</f>
        <v>Total</v>
      </c>
      <c r="B26" s="73">
        <f>IF(B24+B25=0,0,B24+B25)</f>
        <v>420</v>
      </c>
      <c r="C26" s="56">
        <f>IF(SUM(C23:C25)=0,0,SUM(C23:C25))</f>
        <v>49</v>
      </c>
      <c r="D26" s="56">
        <f>IF(SUM(D23:D25)=0,0,SUM(D23:D25))</f>
        <v>469</v>
      </c>
      <c r="E26" s="83"/>
      <c r="F26" s="83"/>
      <c r="G26" s="83"/>
      <c r="H26" s="83"/>
    </row>
    <row r="28" spans="1:8">
      <c r="A28" s="49" t="s">
        <v>72</v>
      </c>
      <c r="B28" s="49" t="s">
        <v>23</v>
      </c>
      <c r="C28" s="49" t="str">
        <f>C16</f>
        <v>Business</v>
      </c>
      <c r="D28" s="49" t="s">
        <v>6</v>
      </c>
      <c r="E28" s="83"/>
      <c r="F28" s="83"/>
      <c r="G28" s="83"/>
      <c r="H28" s="83"/>
    </row>
    <row r="29" spans="1:8">
      <c r="A29" s="84" t="s">
        <v>66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>
      <c r="A30" s="84" t="s">
        <v>67</v>
      </c>
      <c r="B30" s="92">
        <f>B18+B24</f>
        <v>131</v>
      </c>
      <c r="C30" s="92">
        <f t="shared" si="1"/>
        <v>11</v>
      </c>
      <c r="D30" s="72">
        <f t="shared" si="1"/>
        <v>142</v>
      </c>
      <c r="E30" s="83"/>
      <c r="F30" s="83"/>
      <c r="G30" s="83"/>
      <c r="H30" s="83"/>
    </row>
    <row r="31" spans="1:8">
      <c r="A31" s="84" t="s">
        <v>68</v>
      </c>
      <c r="B31" s="92">
        <f>B19+B25</f>
        <v>289</v>
      </c>
      <c r="C31" s="92">
        <f t="shared" si="1"/>
        <v>38</v>
      </c>
      <c r="D31" s="72">
        <f t="shared" si="1"/>
        <v>327</v>
      </c>
      <c r="E31" s="83"/>
      <c r="F31" s="83"/>
      <c r="G31" s="83"/>
      <c r="H31" s="83"/>
    </row>
    <row r="32" spans="1:8">
      <c r="A32" s="55" t="str">
        <f>A26</f>
        <v>Total</v>
      </c>
      <c r="B32" s="56">
        <f>IF(B30+B31=0,0,B30+B31)</f>
        <v>420</v>
      </c>
      <c r="C32" s="56">
        <f>IF(SUM(C29:C31)=0,0,SUM(C29:C31))</f>
        <v>49</v>
      </c>
      <c r="D32" s="56">
        <f>SUM(D29:D31)</f>
        <v>469</v>
      </c>
      <c r="E32" s="83"/>
      <c r="F32" s="83"/>
      <c r="G32" s="83"/>
      <c r="H32" s="83"/>
    </row>
    <row r="33" spans="1:7">
      <c r="A33" s="83"/>
      <c r="B33" s="83"/>
      <c r="C33" s="83"/>
      <c r="D33" s="83"/>
      <c r="E33" s="83"/>
      <c r="F33" s="83"/>
      <c r="G33" s="83"/>
    </row>
    <row r="34" spans="1:7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>
      <c r="A35" s="91" t="str">
        <f>"In summary, "&amp;TEXT($D$26,"000")&amp; " of UI's customers are participating in RECs only with Sterling Planet"</f>
        <v>In summary, 469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>
      <c r="A36" s="91" t="str">
        <f>"In summary, "&amp;TEXT($D$32,"0,000")&amp; " of UI's customers are participating in all REC programs"</f>
        <v>In summary, 0,469 of UI's customers are participating in all REC programs</v>
      </c>
      <c r="B36" s="83"/>
      <c r="C36" s="83"/>
      <c r="D36" s="83"/>
      <c r="E36" s="83"/>
      <c r="F36" s="83"/>
      <c r="G36" s="83"/>
    </row>
    <row r="38" spans="1:7">
      <c r="A38" s="91" t="s">
        <v>73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739791ef9eabf5e8c9b97062d318d782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3ace95a9ee5855646fe72d80ed9d04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11894FBE-B179-4721-9F26-7ABCE67AF671}"/>
</file>

<file path=customXml/itemProps3.xml><?xml version="1.0" encoding="utf-8"?>
<ds:datastoreItem xmlns:ds="http://schemas.openxmlformats.org/officeDocument/2006/customXml" ds:itemID="{C0FD2D0F-D661-492B-92FB-4A59CF007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2025-08-27T18:44:17Z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