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File_output_data\PURA_reports_filings\06-10-22_Switch_reports_and_letters\Supplier Counts\2023-02\"/>
    </mc:Choice>
  </mc:AlternateContent>
  <xr:revisionPtr revIDLastSave="0" documentId="13_ncr:1_{AD3A2AF0-6C55-494B-8BF0-73AFF95EC0EF}" xr6:coauthVersionLast="47" xr6:coauthVersionMax="47" xr10:uidLastSave="{00000000-0000-0000-0000-000000000000}"/>
  <bookViews>
    <workbookView xWindow="4365" yWindow="1980" windowWidth="20910" windowHeight="11715" tabRatio="736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7" l="1"/>
  <c r="A20" i="7"/>
  <c r="A11" i="7"/>
  <c r="A10" i="7"/>
  <c r="D11" i="8" l="1"/>
  <c r="B11" i="8"/>
  <c r="B18" i="5" l="1"/>
  <c r="B19" i="5"/>
  <c r="C19" i="5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C31" i="5"/>
  <c r="B29" i="5"/>
  <c r="C8" i="5"/>
  <c r="A2" i="6"/>
  <c r="B30" i="5"/>
  <c r="C18" i="5"/>
  <c r="C30" i="5" s="1"/>
  <c r="B31" i="5"/>
  <c r="A2" i="5"/>
  <c r="A3" i="8"/>
  <c r="B26" i="5"/>
  <c r="B18" i="8" s="1"/>
  <c r="F24" i="8"/>
  <c r="F17" i="8"/>
  <c r="F10" i="8"/>
  <c r="D5" i="5"/>
  <c r="D11" i="5"/>
  <c r="C17" i="5"/>
  <c r="C23" i="5" s="1"/>
  <c r="D6" i="5"/>
  <c r="D12" i="5"/>
  <c r="D24" i="5"/>
  <c r="D7" i="5"/>
  <c r="D13" i="5"/>
  <c r="D25" i="5"/>
  <c r="D24" i="8"/>
  <c r="D17" i="8"/>
  <c r="D10" i="8"/>
  <c r="A20" i="5"/>
  <c r="A26" i="5" s="1"/>
  <c r="A32" i="5" s="1"/>
  <c r="C16" i="5"/>
  <c r="C28" i="5" s="1"/>
  <c r="C14" i="5"/>
  <c r="B8" i="5"/>
  <c r="B14" i="5"/>
  <c r="A14" i="5"/>
  <c r="C10" i="5"/>
  <c r="B20" i="5"/>
  <c r="D19" i="5" l="1"/>
  <c r="D31" i="5" s="1"/>
  <c r="D14" i="5"/>
  <c r="C20" i="5"/>
  <c r="C29" i="5"/>
  <c r="C32" i="5" s="1"/>
  <c r="D23" i="5"/>
  <c r="D29" i="5" s="1"/>
  <c r="C26" i="5"/>
  <c r="D18" i="8" s="1"/>
  <c r="D18" i="5"/>
  <c r="D30" i="5" s="1"/>
  <c r="D8" i="5"/>
  <c r="B32" i="5"/>
  <c r="C11" i="8" s="1"/>
  <c r="F29" i="6"/>
  <c r="E18" i="8"/>
  <c r="C18" i="8"/>
  <c r="B25" i="8" l="1"/>
  <c r="C25" i="8" s="1"/>
  <c r="F11" i="8"/>
  <c r="G11" i="8" s="1"/>
  <c r="A12" i="8" s="1"/>
  <c r="D25" i="8"/>
  <c r="E25" i="8" s="1"/>
  <c r="E11" i="8"/>
  <c r="D20" i="5"/>
  <c r="A34" i="5" s="1"/>
  <c r="D26" i="5"/>
  <c r="A35" i="5" s="1"/>
  <c r="D32" i="5"/>
  <c r="A36" i="5" s="1"/>
  <c r="F18" i="8"/>
  <c r="G18" i="8" s="1"/>
  <c r="A19" i="8" s="1"/>
  <c r="F25" i="8" l="1"/>
  <c r="G25" i="8" s="1"/>
  <c r="A26" i="8" s="1"/>
</calcChain>
</file>

<file path=xl/sharedStrings.xml><?xml version="1.0" encoding="utf-8"?>
<sst xmlns="http://schemas.openxmlformats.org/spreadsheetml/2006/main" count="142" uniqueCount="75">
  <si>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</si>
  <si>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</si>
  <si>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</si>
  <si>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</si>
  <si>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</si>
  <si>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</si>
  <si>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</si>
  <si>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</si>
  <si>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</si>
  <si>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</si>
  <si>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Customers</t>
  </si>
  <si>
    <t>50% Option</t>
  </si>
  <si>
    <t>100 % Option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</si>
  <si>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</si>
  <si>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</si>
  <si>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</si>
  <si>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</si>
  <si>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</si>
  <si>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</si>
  <si>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</si>
  <si>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</si>
  <si>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</si>
  <si>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</si>
  <si>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</si>
  <si>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</si>
  <si>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</si>
  <si>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</si>
  <si>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</si>
  <si>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</si>
  <si>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</si>
  <si>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</si>
  <si>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</si>
  <si>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</si>
  <si>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</si>
  <si>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</si>
  <si>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</si>
  <si>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</si>
  <si>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</si>
  <si>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</si>
  <si>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</si>
  <si>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</si>
  <si>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</si>
  <si>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</si>
  <si>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</si>
  <si>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</si>
  <si>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Direct Energy Business</t>
  </si>
  <si>
    <t>Totals</t>
  </si>
  <si>
    <t>Calpine Energy Solutions, LLC</t>
  </si>
  <si>
    <t>Champion Energy Services</t>
  </si>
  <si>
    <t>Constellation NewEnergy - C&amp;I</t>
  </si>
  <si>
    <t>Constellation NewEnergy - MM</t>
  </si>
  <si>
    <t>Direct Energy Services</t>
  </si>
  <si>
    <t>Eligo Energy CT, LLC</t>
  </si>
  <si>
    <t>Energy Plus Holdings LLC</t>
  </si>
  <si>
    <t>ENGIE Resources Inc.</t>
  </si>
  <si>
    <t>First Point Power, LLC</t>
  </si>
  <si>
    <t>Major Energy Electric Services, LLC</t>
  </si>
  <si>
    <t>NextEra Energy Services Connecticut, LLC</t>
  </si>
  <si>
    <t>North American Power and Gas</t>
  </si>
  <si>
    <t>NRG Retail Solutions</t>
  </si>
  <si>
    <t>Texas Retail Energy</t>
  </si>
  <si>
    <t>Town Square Energy, LLC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</si>
  <si>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</si>
  <si>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</si>
  <si>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</si>
  <si>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</si>
  <si>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</si>
  <si>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Catalyst Power &amp; Gas, LLC</t>
  </si>
  <si>
    <t>Actual Energy, Inc.</t>
  </si>
  <si>
    <t>Data as of February 28, 2023</t>
  </si>
  <si>
    <t>Customer Load - Suppliers and UI (MWh) 1</t>
  </si>
  <si>
    <t>Customer Count - Suppliers and UI 2</t>
  </si>
  <si>
    <t>1 Load is cumulative for the calendar month (1 MWh = 1,000 kWh)</t>
  </si>
  <si>
    <t>2 Customer counts are as of the date shown and do not reflect pending enrollments.</t>
  </si>
  <si>
    <t>3 The CTCleanOptions Program is not an electric supply option.  Instead, participating customers support clean energy through a surcharge on their bill.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</si>
</sst>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0" fontId="13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6" fillId="2" borderId="0" xfId="0" applyFont="1" applyFill="1" applyBorder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16" fillId="2" borderId="0" xfId="0" applyFont="1" applyFill="1" applyProtection="1"/>
    <xf numFmtId="0" fontId="16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6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16" fillId="2" borderId="2" xfId="0" applyFont="1" applyFill="1" applyBorder="1" applyProtection="1"/>
    <xf numFmtId="3" fontId="16" fillId="0" borderId="2" xfId="0" applyNumberFormat="1" applyFont="1" applyFill="1" applyBorder="1" applyAlignment="1" applyProtection="1">
      <alignment horizontal="center"/>
    </xf>
    <xf numFmtId="3" fontId="16" fillId="0" borderId="2" xfId="0" applyNumberFormat="1" applyFont="1" applyFill="1" applyBorder="1" applyAlignment="1" applyProtection="1">
      <alignment horizontal="center"/>
      <protection locked="0"/>
    </xf>
    <xf numFmtId="3" fontId="16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 vertical="center" wrapText="1"/>
    </xf>
    <xf numFmtId="3" fontId="16" fillId="2" borderId="0" xfId="0" applyNumberFormat="1" applyFont="1" applyFill="1" applyBorder="1" applyAlignment="1" applyProtection="1">
      <alignment horizontal="right"/>
    </xf>
    <xf numFmtId="164" fontId="16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6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6" fillId="2" borderId="2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Protection="1"/>
    <xf numFmtId="0" fontId="16" fillId="0" borderId="0" xfId="0" applyFont="1" applyFill="1" applyBorder="1" applyProtection="1"/>
    <xf numFmtId="0" fontId="18" fillId="2" borderId="0" xfId="0" applyFont="1" applyFill="1" applyProtection="1"/>
    <xf numFmtId="0" fontId="8" fillId="2" borderId="0" xfId="0" applyFont="1" applyFill="1" applyProtection="1"/>
    <xf numFmtId="14" fontId="10" fillId="0" borderId="0" xfId="0" applyNumberFormat="1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11" fillId="3" borderId="2" xfId="0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7" fillId="2" borderId="0" xfId="0" applyFont="1" applyFill="1"/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view="pageLayout" zoomScaleNormal="100" workbookViewId="0">
      <selection activeCell="A21" sqref="A21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0" width="9.140625" style="2" customWidth="1"/>
    <col min="11" max="16384" width="9.140625" style="2"/>
  </cols>
  <sheetData>
    <row r="1" spans="1:9" s="7" customFormat="1" ht="18" customHeight="1" x14ac:dyDescent="0.2">
      <c r="A1" s="21" t="s">
        <v>22</v>
      </c>
      <c r="B1" s="22"/>
      <c r="C1" s="22"/>
      <c r="D1" s="22"/>
      <c r="E1" s="22"/>
      <c r="F1" s="22"/>
      <c r="G1" s="23"/>
      <c r="H1" s="24"/>
      <c r="I1" s="24"/>
    </row>
    <row r="2" spans="1:9" s="7" customFormat="1" ht="18" customHeight="1" x14ac:dyDescent="0.2">
      <c r="A2" s="97" t="s">
        <v>69</v>
      </c>
      <c r="B2" s="97"/>
      <c r="C2" s="24"/>
      <c r="D2" s="61"/>
      <c r="E2" s="61"/>
      <c r="F2" s="61"/>
      <c r="G2" s="24"/>
      <c r="H2" s="24"/>
      <c r="I2" s="24"/>
    </row>
    <row r="4" spans="1:9" ht="18" customHeight="1" x14ac:dyDescent="0.2">
      <c r="A4" s="26" t="s">
        <v>70</v>
      </c>
      <c r="B4" s="27"/>
      <c r="C4" s="27"/>
      <c r="D4" s="27"/>
      <c r="E4" s="27"/>
      <c r="F4" s="27"/>
      <c r="G4" s="28"/>
      <c r="H4" s="24"/>
      <c r="I4" s="24"/>
    </row>
    <row r="5" spans="1:9" s="33" customFormat="1" ht="18" customHeight="1" x14ac:dyDescent="0.2">
      <c r="A5" s="2"/>
      <c r="B5" s="29" t="s">
        <v>23</v>
      </c>
      <c r="C5" s="30"/>
      <c r="D5" s="29" t="s">
        <v>5</v>
      </c>
      <c r="E5" s="31"/>
      <c r="F5" s="29" t="s">
        <v>6</v>
      </c>
      <c r="G5" s="32"/>
      <c r="H5" s="29" t="s">
        <v>25</v>
      </c>
      <c r="I5" s="31"/>
    </row>
    <row r="6" spans="1:9" ht="18" customHeight="1" x14ac:dyDescent="0.2">
      <c r="A6" s="34"/>
      <c r="B6" s="35" t="s">
        <v>7</v>
      </c>
      <c r="C6" s="36" t="s">
        <v>15</v>
      </c>
      <c r="D6" s="35" t="s">
        <v>7</v>
      </c>
      <c r="E6" s="36" t="s">
        <v>15</v>
      </c>
      <c r="F6" s="35" t="s">
        <v>7</v>
      </c>
      <c r="G6" s="36" t="s">
        <v>15</v>
      </c>
      <c r="H6" s="35" t="s">
        <v>7</v>
      </c>
      <c r="I6" s="36" t="s">
        <v>14</v>
      </c>
    </row>
    <row r="7" spans="1:9" ht="18" customHeight="1" x14ac:dyDescent="0.2">
      <c r="A7" s="37" t="s">
        <v>8</v>
      </c>
      <c r="B7" s="59">
        <v>22354.963999999993</v>
      </c>
      <c r="C7" s="103">
        <v>0.13715937368763098</v>
      </c>
      <c r="D7" s="59">
        <v>45523.797000000006</v>
      </c>
      <c r="E7" s="103">
        <v>0.41519893347282072</v>
      </c>
      <c r="F7" s="59">
        <v>98361.063999999998</v>
      </c>
      <c r="G7" s="103">
        <v>0.95791136289610979</v>
      </c>
      <c r="H7" s="105">
        <v>166239.82500000001</v>
      </c>
      <c r="I7" s="38">
        <v>0.44293826594708663</v>
      </c>
    </row>
    <row r="8" spans="1:9" ht="18" customHeight="1" x14ac:dyDescent="0.2">
      <c r="A8" s="37" t="s">
        <v>9</v>
      </c>
      <c r="B8" s="106">
        <v>140630.353</v>
      </c>
      <c r="C8" s="103">
        <v>0.86284062631236913</v>
      </c>
      <c r="D8" s="106">
        <v>64119.541000000005</v>
      </c>
      <c r="E8" s="103">
        <v>0.58480106652717923</v>
      </c>
      <c r="F8" s="59">
        <v>4321.780999999999</v>
      </c>
      <c r="G8" s="103">
        <v>4.2088637103890131E-2</v>
      </c>
      <c r="H8" s="106">
        <v>209071.67499999999</v>
      </c>
      <c r="I8" s="38">
        <v>0.55706173405291337</v>
      </c>
    </row>
    <row r="9" spans="1:9" ht="18" customHeight="1" x14ac:dyDescent="0.2">
      <c r="A9" s="95" t="s">
        <v>4</v>
      </c>
      <c r="B9" s="39">
        <v>162985.31699999998</v>
      </c>
      <c r="C9" s="40"/>
      <c r="D9" s="39">
        <v>109643.33800000002</v>
      </c>
      <c r="E9" s="40"/>
      <c r="F9" s="39">
        <v>102682.845</v>
      </c>
      <c r="G9" s="40"/>
      <c r="H9" s="39">
        <v>375311.5</v>
      </c>
      <c r="I9" s="41"/>
    </row>
    <row r="10" spans="1:9" ht="18" customHeight="1" x14ac:dyDescent="0.2">
      <c r="A10" s="124" t="str">
        <f>"As the above table shows, "&amp;TEXT(H7,"#,###")&amp;" MWh, or "&amp;TEXT(I7,"##.#%")&amp;" of UI's total load is served by electric suppliers"</f>
        <v>As the above table shows, 166,240 MWh, or 44.3% of UI's total load is served by electric suppliers</v>
      </c>
      <c r="H10" s="25"/>
    </row>
    <row r="11" spans="1:9" ht="18" customHeight="1" x14ac:dyDescent="0.25">
      <c r="A11" s="124" t="str">
        <f>"while "&amp;TEXT(H8,"#,###")&amp;" MWh, or "&amp;TEXT(I8,"##.#%")&amp;" of the load is provided under Standard Service or Last Resort service through UI."</f>
        <v>while 209,072 MWh, or 55.7% of the load is provided under Standard Service or Last Resort service through UI.</v>
      </c>
      <c r="B11" s="43"/>
      <c r="C11" s="44"/>
      <c r="D11" s="43"/>
      <c r="E11" s="44"/>
      <c r="F11" s="45"/>
      <c r="G11" s="46"/>
      <c r="H11" s="25"/>
    </row>
    <row r="12" spans="1:9" ht="15" x14ac:dyDescent="0.25">
      <c r="G12" s="46"/>
      <c r="H12" s="25"/>
    </row>
    <row r="13" spans="1:9" ht="18" customHeight="1" x14ac:dyDescent="0.2">
      <c r="A13" s="26" t="s">
        <v>71</v>
      </c>
      <c r="B13" s="27"/>
      <c r="C13" s="27"/>
      <c r="D13" s="27"/>
      <c r="E13" s="27"/>
      <c r="F13" s="27"/>
      <c r="G13" s="47"/>
      <c r="H13" s="23"/>
      <c r="I13" s="24"/>
    </row>
    <row r="14" spans="1:9" ht="18" customHeight="1" x14ac:dyDescent="0.25">
      <c r="A14" s="37"/>
      <c r="B14" s="29" t="s">
        <v>23</v>
      </c>
      <c r="C14" s="48"/>
      <c r="D14" s="29" t="s">
        <v>5</v>
      </c>
      <c r="E14" s="49"/>
      <c r="F14" s="29" t="s">
        <v>6</v>
      </c>
      <c r="G14" s="32"/>
      <c r="H14" s="29" t="s">
        <v>25</v>
      </c>
      <c r="I14" s="31"/>
    </row>
    <row r="15" spans="1:9" ht="18" customHeight="1" x14ac:dyDescent="0.2">
      <c r="A15" s="34"/>
      <c r="B15" s="35" t="s">
        <v>10</v>
      </c>
      <c r="C15" s="36" t="s">
        <v>15</v>
      </c>
      <c r="D15" s="35" t="s">
        <v>10</v>
      </c>
      <c r="E15" s="36" t="s">
        <v>15</v>
      </c>
      <c r="F15" s="35" t="s">
        <v>10</v>
      </c>
      <c r="G15" s="36" t="s">
        <v>15</v>
      </c>
      <c r="H15" s="35" t="s">
        <v>10</v>
      </c>
      <c r="I15" s="36" t="s">
        <v>14</v>
      </c>
    </row>
    <row r="16" spans="1:9" ht="18" customHeight="1" x14ac:dyDescent="0.2">
      <c r="A16" s="37" t="s">
        <v>8</v>
      </c>
      <c r="B16" s="59">
        <v>40901</v>
      </c>
      <c r="C16" s="103">
        <v>0.13234599380027567</v>
      </c>
      <c r="D16" s="59">
        <v>15214</v>
      </c>
      <c r="E16" s="104">
        <v>0.3970250521920668</v>
      </c>
      <c r="F16" s="59">
        <v>186</v>
      </c>
      <c r="G16" s="103">
        <v>0.88995215311004783</v>
      </c>
      <c r="H16" s="105">
        <v>56301</v>
      </c>
      <c r="I16" s="38">
        <v>0.16198230597712723</v>
      </c>
    </row>
    <row r="17" spans="1:9" ht="18" customHeight="1" x14ac:dyDescent="0.2">
      <c r="A17" s="37" t="s">
        <v>9</v>
      </c>
      <c r="B17" s="60">
        <v>268145</v>
      </c>
      <c r="C17" s="103">
        <v>0.86765400619972433</v>
      </c>
      <c r="D17" s="60">
        <v>23106</v>
      </c>
      <c r="E17" s="104">
        <v>0.60297494780793315</v>
      </c>
      <c r="F17" s="60">
        <v>23</v>
      </c>
      <c r="G17" s="103">
        <v>0.11004784688995216</v>
      </c>
      <c r="H17" s="60">
        <v>291274</v>
      </c>
      <c r="I17" s="38">
        <v>0.83801769402287274</v>
      </c>
    </row>
    <row r="18" spans="1:9" ht="18" customHeight="1" x14ac:dyDescent="0.2">
      <c r="A18" s="37" t="s">
        <v>4</v>
      </c>
      <c r="B18" s="39">
        <v>309046</v>
      </c>
      <c r="C18" s="50"/>
      <c r="D18" s="39">
        <v>38320</v>
      </c>
      <c r="E18" s="40"/>
      <c r="F18" s="39">
        <v>209</v>
      </c>
      <c r="G18" s="40"/>
      <c r="H18" s="39">
        <v>347575</v>
      </c>
      <c r="I18" s="41"/>
    </row>
    <row r="19" spans="1:9" ht="18" customHeight="1" x14ac:dyDescent="0.25">
      <c r="G19" s="46"/>
      <c r="H19" s="25"/>
    </row>
    <row r="20" spans="1:9" ht="18" customHeight="1" x14ac:dyDescent="0.25">
      <c r="A20" s="124" t="str">
        <f>"As the above table shows, "&amp;TEXT(H16,"0,000")&amp; " of UI's total customers, or "&amp;TEXT(I16,"0.0%")&amp;" are served by electric suppliers"</f>
        <v>As the above table shows, 56,301 of UI's total customers, or 16.2% are served by electric suppliers</v>
      </c>
      <c r="G20" s="46"/>
      <c r="H20" s="25"/>
    </row>
    <row r="21" spans="1:9" ht="18" customHeight="1" x14ac:dyDescent="0.25">
      <c r="A21" s="124" t="str">
        <f>"while "&amp;TEXT(H17,"0,000")&amp;" or "&amp;TEXT(I17,"0.0%")&amp;" of the customers continue to receive Standard Service or Last Resort service through UI."</f>
        <v>while 291,274 or 83.8% of the customers continue to receive Standard Service or Last Resort service through UI.</v>
      </c>
      <c r="B21" s="51"/>
      <c r="C21" s="51"/>
      <c r="D21" s="51"/>
      <c r="E21" s="51"/>
      <c r="F21" s="52"/>
      <c r="G21" s="53"/>
      <c r="H21" s="25"/>
    </row>
    <row r="22" spans="1:9" ht="18" customHeight="1" x14ac:dyDescent="0.25">
      <c r="B22" s="25"/>
      <c r="C22" s="25"/>
      <c r="D22" s="53"/>
      <c r="E22" s="53"/>
      <c r="F22" s="54"/>
      <c r="G22" s="54"/>
      <c r="H22" s="25"/>
    </row>
    <row r="24" spans="1:9" ht="13.5" x14ac:dyDescent="0.2">
      <c r="A24" s="57" t="s">
        <v>72</v>
      </c>
      <c r="I24" s="91"/>
    </row>
    <row r="25" spans="1:9" ht="13.5" x14ac:dyDescent="0.2">
      <c r="A25" s="57" t="s">
        <v>73</v>
      </c>
    </row>
    <row r="26" spans="1:9" ht="13.5" x14ac:dyDescent="0.2">
      <c r="A26" s="57" t="s">
        <v>74</v>
      </c>
    </row>
    <row r="27" spans="1:9" x14ac:dyDescent="0.2">
      <c r="A27" s="58" t="s">
        <v>13</v>
      </c>
    </row>
    <row r="28" spans="1:9" x14ac:dyDescent="0.2">
      <c r="A28" s="58" t="s">
        <v>19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
&amp;A&amp;R&amp;"Arial,Bold"Page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showGridLines="0" showZeros="0" view="pageLayout" topLeftCell="A7" zoomScaleNormal="100" workbookViewId="0">
      <selection activeCell="C24" sqref="C24"/>
    </sheetView>
  </sheetViews>
  <sheetFormatPr defaultColWidth="9.140625" defaultRowHeight="12.75" x14ac:dyDescent="0.2"/>
  <cols>
    <col min="1" max="1" width="4.42578125" style="1" customWidth="1"/>
    <col min="2" max="2" width="37.42578125" style="1" bestFit="1" customWidth="1"/>
    <col min="3" max="3" width="11.28515625" style="1" bestFit="1" customWidth="1"/>
    <col min="4" max="4" width="9.140625" style="1" bestFit="1" customWidth="1"/>
    <col min="5" max="5" width="8" style="1" customWidth="1"/>
    <col min="6" max="6" width="13.140625" style="1" bestFit="1" customWidth="1"/>
    <col min="7" max="16384" width="9.140625" style="2"/>
  </cols>
  <sheetData>
    <row r="1" spans="1:6" s="7" customFormat="1" ht="18" customHeight="1" x14ac:dyDescent="0.2">
      <c r="A1" s="11" t="s">
        <v>64</v>
      </c>
      <c r="B1" s="12"/>
      <c r="C1" s="12"/>
      <c r="D1" s="12"/>
      <c r="E1" s="12"/>
      <c r="F1" s="6"/>
    </row>
    <row r="2" spans="1:6" s="7" customFormat="1" ht="18" customHeight="1" x14ac:dyDescent="0.2">
      <c r="A2" s="8" t="str">
        <f>'Summary Load Customers '!A2</f>
        <v>Data as of February 28, 2023</v>
      </c>
      <c r="B2" s="12"/>
      <c r="C2" s="12"/>
      <c r="D2" s="12"/>
      <c r="E2" s="12"/>
      <c r="F2" s="13"/>
    </row>
    <row r="3" spans="1:6" s="7" customFormat="1" ht="18" customHeight="1" x14ac:dyDescent="0.2">
      <c r="A3" s="14"/>
      <c r="B3" s="5"/>
      <c r="C3" s="15"/>
      <c r="D3" s="15"/>
      <c r="E3" s="9"/>
      <c r="F3" s="9"/>
    </row>
    <row r="4" spans="1:6" x14ac:dyDescent="0.2">
      <c r="A4" s="16"/>
      <c r="B4" s="17"/>
      <c r="C4" s="3" t="s">
        <v>0</v>
      </c>
      <c r="D4" s="10"/>
      <c r="E4" s="10"/>
      <c r="F4" s="18"/>
    </row>
    <row r="5" spans="1:6" s="7" customFormat="1" ht="25.5" x14ac:dyDescent="0.2">
      <c r="A5" s="19"/>
      <c r="B5" s="4" t="s">
        <v>1</v>
      </c>
      <c r="C5" s="4" t="s">
        <v>2</v>
      </c>
      <c r="D5" s="4" t="s">
        <v>3</v>
      </c>
      <c r="E5" s="4" t="s">
        <v>4</v>
      </c>
      <c r="F5" s="4" t="s">
        <v>20</v>
      </c>
    </row>
    <row r="6" spans="1:6" x14ac:dyDescent="0.2">
      <c r="A6" s="93">
        <v>1</v>
      </c>
      <c r="B6" t="s">
        <v>68</v>
      </c>
      <c r="C6" s="110"/>
      <c r="D6" s="112">
        <v>2</v>
      </c>
      <c r="E6" s="113">
        <v>2</v>
      </c>
      <c r="F6" s="20">
        <f t="shared" ref="F6:F28" si="0">IF(E6=0,"",E6/$E$29)</f>
        <v>3.5516408580764311E-5</v>
      </c>
    </row>
    <row r="7" spans="1:6" ht="14.25" customHeight="1" x14ac:dyDescent="0.2">
      <c r="A7" s="93">
        <v>2</v>
      </c>
      <c r="B7" t="s">
        <v>49</v>
      </c>
      <c r="C7" s="111">
        <v>1531</v>
      </c>
      <c r="D7">
        <v>4958</v>
      </c>
      <c r="E7" s="114">
        <v>6489</v>
      </c>
      <c r="F7" s="20">
        <f t="shared" si="0"/>
        <v>0.11523298764028982</v>
      </c>
    </row>
    <row r="8" spans="1:6" ht="14.25" customHeight="1" x14ac:dyDescent="0.2">
      <c r="A8" s="93">
        <v>3</v>
      </c>
      <c r="B8" t="s">
        <v>48</v>
      </c>
      <c r="C8" s="111">
        <v>5</v>
      </c>
      <c r="D8">
        <v>177</v>
      </c>
      <c r="E8" s="114">
        <v>182</v>
      </c>
      <c r="F8" s="20">
        <f t="shared" si="0"/>
        <v>3.2319931808495526E-3</v>
      </c>
    </row>
    <row r="9" spans="1:6" ht="14.25" customHeight="1" x14ac:dyDescent="0.2">
      <c r="A9" s="93">
        <v>4</v>
      </c>
      <c r="B9" t="s">
        <v>50</v>
      </c>
      <c r="C9" s="111">
        <v>21535</v>
      </c>
      <c r="D9">
        <v>1062</v>
      </c>
      <c r="E9" s="114">
        <v>22597</v>
      </c>
      <c r="F9" s="20">
        <f t="shared" si="0"/>
        <v>0.40128214234976561</v>
      </c>
    </row>
    <row r="10" spans="1:6" ht="14.25" customHeight="1" x14ac:dyDescent="0.2">
      <c r="A10" s="93">
        <v>5</v>
      </c>
      <c r="B10" t="s">
        <v>67</v>
      </c>
      <c r="C10" s="111">
        <v>12</v>
      </c>
      <c r="D10">
        <v>78</v>
      </c>
      <c r="E10" s="114">
        <v>90</v>
      </c>
      <c r="F10" s="20">
        <f t="shared" si="0"/>
        <v>1.5982383861343941E-3</v>
      </c>
    </row>
    <row r="11" spans="1:6" ht="14.25" customHeight="1" x14ac:dyDescent="0.2">
      <c r="A11" s="93">
        <v>6</v>
      </c>
      <c r="B11" t="s">
        <v>61</v>
      </c>
      <c r="C11" s="111">
        <v>5607</v>
      </c>
      <c r="D11">
        <v>191</v>
      </c>
      <c r="E11" s="114">
        <v>5798</v>
      </c>
      <c r="F11" s="20">
        <f t="shared" si="0"/>
        <v>0.10296206847563574</v>
      </c>
    </row>
    <row r="12" spans="1:6" ht="14.25" customHeight="1" x14ac:dyDescent="0.2">
      <c r="A12" s="93">
        <v>7</v>
      </c>
      <c r="B12" t="s">
        <v>51</v>
      </c>
      <c r="C12" s="111">
        <v>4325</v>
      </c>
      <c r="D12">
        <v>1094</v>
      </c>
      <c r="E12" s="114">
        <v>5419</v>
      </c>
      <c r="F12" s="20">
        <f t="shared" si="0"/>
        <v>9.6231709049580907E-2</v>
      </c>
    </row>
    <row r="13" spans="1:6" ht="14.25" customHeight="1" x14ac:dyDescent="0.2">
      <c r="A13" s="93">
        <v>8</v>
      </c>
      <c r="B13" t="s">
        <v>66</v>
      </c>
      <c r="C13" s="111"/>
      <c r="D13">
        <v>222</v>
      </c>
      <c r="E13" s="114">
        <v>222</v>
      </c>
      <c r="F13" s="20">
        <f t="shared" si="0"/>
        <v>3.9423213524648389E-3</v>
      </c>
    </row>
    <row r="14" spans="1:6" ht="14.25" customHeight="1" x14ac:dyDescent="0.2">
      <c r="A14" s="93">
        <v>9</v>
      </c>
      <c r="B14" t="s">
        <v>52</v>
      </c>
      <c r="C14" s="111">
        <v>11</v>
      </c>
      <c r="D14">
        <v>144</v>
      </c>
      <c r="E14" s="114">
        <v>155</v>
      </c>
      <c r="F14" s="20">
        <f t="shared" si="0"/>
        <v>2.7525216650092343E-3</v>
      </c>
    </row>
    <row r="15" spans="1:6" ht="14.25" customHeight="1" x14ac:dyDescent="0.2">
      <c r="A15" s="93">
        <v>10</v>
      </c>
      <c r="B15" t="s">
        <v>53</v>
      </c>
      <c r="C15" s="111">
        <v>27</v>
      </c>
      <c r="D15">
        <v>8</v>
      </c>
      <c r="E15" s="114">
        <v>35</v>
      </c>
      <c r="F15" s="20">
        <f t="shared" si="0"/>
        <v>6.2153715016337546E-4</v>
      </c>
    </row>
    <row r="16" spans="1:6" ht="14.25" customHeight="1" x14ac:dyDescent="0.2">
      <c r="A16" s="93">
        <v>11</v>
      </c>
      <c r="B16" t="s">
        <v>55</v>
      </c>
      <c r="C16" s="111">
        <v>214</v>
      </c>
      <c r="D16">
        <v>210</v>
      </c>
      <c r="E16" s="114">
        <v>424</v>
      </c>
      <c r="F16" s="20">
        <f t="shared" si="0"/>
        <v>7.5294786191220341E-3</v>
      </c>
    </row>
    <row r="17" spans="1:6" ht="14.25" customHeight="1" x14ac:dyDescent="0.2">
      <c r="A17" s="93">
        <v>12</v>
      </c>
      <c r="B17" t="s">
        <v>57</v>
      </c>
      <c r="C17" s="111">
        <v>42</v>
      </c>
      <c r="D17">
        <v>740</v>
      </c>
      <c r="E17" s="114">
        <v>782</v>
      </c>
      <c r="F17" s="20">
        <f t="shared" si="0"/>
        <v>1.3886915755078846E-2</v>
      </c>
    </row>
    <row r="18" spans="1:6" ht="14.25" customHeight="1" x14ac:dyDescent="0.2">
      <c r="A18" s="93">
        <v>13</v>
      </c>
      <c r="B18" t="s">
        <v>56</v>
      </c>
      <c r="C18" s="111">
        <v>784</v>
      </c>
      <c r="D18">
        <v>71</v>
      </c>
      <c r="E18" s="114">
        <v>855</v>
      </c>
      <c r="F18" s="20">
        <f t="shared" si="0"/>
        <v>1.5183264668276743E-2</v>
      </c>
    </row>
    <row r="19" spans="1:6" ht="14.25" customHeight="1" x14ac:dyDescent="0.2">
      <c r="A19" s="93">
        <v>14</v>
      </c>
      <c r="B19" t="s">
        <v>65</v>
      </c>
      <c r="C19" s="111">
        <v>2</v>
      </c>
      <c r="D19">
        <v>214</v>
      </c>
      <c r="E19" s="114">
        <v>216</v>
      </c>
      <c r="F19" s="20">
        <f t="shared" si="0"/>
        <v>3.835772126722546E-3</v>
      </c>
    </row>
    <row r="20" spans="1:6" ht="14.25" customHeight="1" x14ac:dyDescent="0.2">
      <c r="A20" s="93">
        <v>15</v>
      </c>
      <c r="B20" t="s">
        <v>58</v>
      </c>
      <c r="C20" s="111">
        <v>1703</v>
      </c>
      <c r="D20">
        <v>60</v>
      </c>
      <c r="E20" s="114">
        <v>1763</v>
      </c>
      <c r="F20" s="20">
        <f t="shared" si="0"/>
        <v>3.1307714163943741E-2</v>
      </c>
    </row>
    <row r="21" spans="1:6" ht="14.25" customHeight="1" x14ac:dyDescent="0.2">
      <c r="A21" s="93">
        <v>16</v>
      </c>
      <c r="B21" t="s">
        <v>59</v>
      </c>
      <c r="C21" s="111">
        <v>67</v>
      </c>
      <c r="D21">
        <v>9</v>
      </c>
      <c r="E21" s="114">
        <v>76</v>
      </c>
      <c r="F21" s="20">
        <f t="shared" si="0"/>
        <v>1.3496235260690439E-3</v>
      </c>
    </row>
    <row r="22" spans="1:6" ht="14.25" customHeight="1" x14ac:dyDescent="0.2">
      <c r="A22" s="93">
        <v>17</v>
      </c>
      <c r="B22" t="s">
        <v>47</v>
      </c>
      <c r="C22" s="111">
        <v>109</v>
      </c>
      <c r="D22">
        <v>2513</v>
      </c>
      <c r="E22" s="114">
        <v>2622</v>
      </c>
      <c r="F22" s="20">
        <f t="shared" si="0"/>
        <v>4.6562011649382014E-2</v>
      </c>
    </row>
    <row r="23" spans="1:6" ht="14.25" customHeight="1" x14ac:dyDescent="0.2">
      <c r="A23" s="93">
        <v>18</v>
      </c>
      <c r="B23" t="s">
        <v>45</v>
      </c>
      <c r="C23" s="111">
        <v>231</v>
      </c>
      <c r="D23">
        <v>1646</v>
      </c>
      <c r="E23" s="114">
        <v>1877</v>
      </c>
      <c r="F23" s="20">
        <f t="shared" si="0"/>
        <v>3.3332149453047306E-2</v>
      </c>
    </row>
    <row r="24" spans="1:6" ht="14.25" customHeight="1" x14ac:dyDescent="0.2">
      <c r="A24" s="93">
        <v>19</v>
      </c>
      <c r="B24" t="s">
        <v>54</v>
      </c>
      <c r="C24" s="111">
        <v>767</v>
      </c>
      <c r="D24">
        <v>1411</v>
      </c>
      <c r="E24" s="114">
        <v>2178</v>
      </c>
      <c r="F24" s="20">
        <f t="shared" si="0"/>
        <v>3.8677368944452339E-2</v>
      </c>
    </row>
    <row r="25" spans="1:6" ht="14.25" customHeight="1" x14ac:dyDescent="0.2">
      <c r="A25" s="93">
        <v>20</v>
      </c>
      <c r="B25" t="s">
        <v>60</v>
      </c>
      <c r="C25" s="111"/>
      <c r="D25">
        <v>11</v>
      </c>
      <c r="E25" s="114">
        <v>11</v>
      </c>
      <c r="F25" s="20">
        <f t="shared" si="0"/>
        <v>1.9534024719420373E-4</v>
      </c>
    </row>
    <row r="26" spans="1:6" ht="14.25" customHeight="1" x14ac:dyDescent="0.2">
      <c r="A26" s="93">
        <v>21</v>
      </c>
      <c r="B26" t="s">
        <v>44</v>
      </c>
      <c r="C26" s="111">
        <v>1443</v>
      </c>
      <c r="D26">
        <v>57</v>
      </c>
      <c r="E26" s="114">
        <v>1500</v>
      </c>
      <c r="F26" s="20">
        <f t="shared" si="0"/>
        <v>2.6637306435573233E-2</v>
      </c>
    </row>
    <row r="27" spans="1:6" ht="14.25" customHeight="1" x14ac:dyDescent="0.2">
      <c r="A27" s="93">
        <v>22</v>
      </c>
      <c r="B27" t="s">
        <v>63</v>
      </c>
      <c r="C27" s="111">
        <v>27</v>
      </c>
      <c r="D27">
        <v>14</v>
      </c>
      <c r="E27" s="114">
        <v>41</v>
      </c>
      <c r="F27" s="20">
        <f t="shared" si="0"/>
        <v>7.2808637590566843E-4</v>
      </c>
    </row>
    <row r="28" spans="1:6" ht="14.25" customHeight="1" x14ac:dyDescent="0.2">
      <c r="A28" s="93">
        <v>23</v>
      </c>
      <c r="B28" t="s">
        <v>62</v>
      </c>
      <c r="C28" s="111">
        <v>2471</v>
      </c>
      <c r="D28">
        <v>507</v>
      </c>
      <c r="E28" s="114">
        <v>2978</v>
      </c>
      <c r="F28" s="20">
        <f t="shared" si="0"/>
        <v>5.2883932376758064E-2</v>
      </c>
    </row>
    <row r="29" spans="1:6" ht="14.25" customHeight="1" x14ac:dyDescent="0.2">
      <c r="A29" s="93"/>
      <c r="B29" s="101" t="s">
        <v>46</v>
      </c>
      <c r="C29" s="115">
        <v>40913</v>
      </c>
      <c r="D29" s="116">
        <v>15399</v>
      </c>
      <c r="E29" s="117">
        <v>56312</v>
      </c>
      <c r="F29" s="20">
        <f>SUM(F6:F28)</f>
        <v>1.0000000000000002</v>
      </c>
    </row>
    <row r="30" spans="1:6" x14ac:dyDescent="0.2">
      <c r="A30" s="94"/>
      <c r="B30" s="98"/>
      <c r="C30" s="99"/>
      <c r="D30" s="99"/>
      <c r="E30" s="99"/>
      <c r="F30" s="100"/>
    </row>
    <row r="31" spans="1:6" x14ac:dyDescent="0.2">
      <c r="A31" s="1" t="s">
        <v>18</v>
      </c>
      <c r="B31" s="92"/>
    </row>
    <row r="32" spans="1:6" x14ac:dyDescent="0.2">
      <c r="A32" s="1" t="s">
        <v>17</v>
      </c>
    </row>
    <row r="33" spans="1:1" x14ac:dyDescent="0.2">
      <c r="A33" s="1" t="s">
        <v>13</v>
      </c>
    </row>
  </sheetData>
  <sortState xmlns:xlrd2="http://schemas.microsoft.com/office/spreadsheetml/2017/richdata2" ref="B6:E28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
&amp;A&amp;R&amp;"Arial,Bold"Page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view="pageLayout" topLeftCell="A13" zoomScaleNormal="100" workbookViewId="0">
      <selection activeCell="D12" sqref="D12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7" customFormat="1" ht="15.75" x14ac:dyDescent="0.2">
      <c r="A1" s="121" t="s">
        <v>40</v>
      </c>
      <c r="B1" s="121"/>
      <c r="C1" s="121"/>
      <c r="D1" s="121"/>
      <c r="E1" s="121"/>
      <c r="F1" s="121"/>
      <c r="G1" s="121"/>
      <c r="H1" s="24"/>
      <c r="I1" s="24"/>
    </row>
    <row r="2" spans="1:9" s="7" customFormat="1" ht="15.75" x14ac:dyDescent="0.2">
      <c r="A2" s="121" t="s">
        <v>39</v>
      </c>
      <c r="B2" s="121"/>
      <c r="C2" s="121"/>
      <c r="D2" s="121"/>
      <c r="E2" s="121"/>
      <c r="F2" s="121"/>
      <c r="G2" s="121"/>
      <c r="H2" s="24"/>
      <c r="I2" s="24"/>
    </row>
    <row r="3" spans="1:9" s="7" customFormat="1" x14ac:dyDescent="0.2">
      <c r="A3" s="122" t="str">
        <f>'Summary Load Customers '!A2</f>
        <v>Data as of February 28, 2023</v>
      </c>
      <c r="B3" s="122"/>
      <c r="C3" s="122"/>
      <c r="D3" s="122"/>
      <c r="E3" s="122"/>
      <c r="F3" s="122"/>
      <c r="G3" s="122"/>
      <c r="H3" s="24"/>
      <c r="I3" s="24"/>
    </row>
    <row r="4" spans="1:9" s="7" customFormat="1" x14ac:dyDescent="0.2">
      <c r="A4" s="2"/>
      <c r="B4" s="24"/>
      <c r="C4" s="24"/>
      <c r="D4" s="61"/>
      <c r="E4" s="61"/>
      <c r="F4" s="61"/>
      <c r="G4" s="24"/>
      <c r="H4" s="24"/>
      <c r="I4" s="24"/>
    </row>
    <row r="5" spans="1:9" s="7" customFormat="1" ht="15.75" x14ac:dyDescent="0.25">
      <c r="A5" s="119" t="s">
        <v>33</v>
      </c>
      <c r="B5" s="119"/>
      <c r="C5" s="119"/>
      <c r="D5" s="119"/>
      <c r="E5" s="119"/>
      <c r="F5" s="119"/>
      <c r="G5" s="119"/>
      <c r="H5" s="25"/>
      <c r="I5" s="24"/>
    </row>
    <row r="6" spans="1:9" s="7" customFormat="1" ht="15" x14ac:dyDescent="0.25">
      <c r="A6" s="109"/>
      <c r="B6" s="108"/>
      <c r="C6" s="108"/>
      <c r="D6" s="53"/>
      <c r="E6" s="53"/>
      <c r="F6" s="54"/>
      <c r="G6" s="54"/>
      <c r="H6" s="55"/>
      <c r="I6" s="24"/>
    </row>
    <row r="7" spans="1:9" ht="24" customHeight="1" x14ac:dyDescent="0.2">
      <c r="A7" s="120" t="s">
        <v>42</v>
      </c>
      <c r="B7" s="120"/>
      <c r="C7" s="120"/>
      <c r="D7" s="120"/>
      <c r="E7" s="120"/>
      <c r="F7" s="120"/>
      <c r="G7" s="120"/>
      <c r="H7" s="25"/>
    </row>
    <row r="8" spans="1:9" ht="15" x14ac:dyDescent="0.2">
      <c r="A8" s="37"/>
      <c r="B8" s="27"/>
      <c r="C8" s="27"/>
      <c r="D8" s="27"/>
      <c r="E8" s="27"/>
      <c r="F8" s="27"/>
      <c r="G8" s="47"/>
      <c r="H8" s="23"/>
      <c r="I8" s="56"/>
    </row>
    <row r="9" spans="1:9" ht="15" x14ac:dyDescent="0.25">
      <c r="A9" s="34"/>
      <c r="B9" s="29" t="s">
        <v>2</v>
      </c>
      <c r="C9" s="48"/>
      <c r="D9" s="29" t="s">
        <v>21</v>
      </c>
      <c r="E9" s="49"/>
      <c r="F9" s="29" t="s">
        <v>25</v>
      </c>
      <c r="G9" s="31"/>
    </row>
    <row r="10" spans="1:9" ht="15" x14ac:dyDescent="0.2">
      <c r="A10" s="37" t="s">
        <v>35</v>
      </c>
      <c r="B10" s="35" t="s">
        <v>10</v>
      </c>
      <c r="C10" s="36" t="s">
        <v>15</v>
      </c>
      <c r="D10" s="35" t="str">
        <f>B10</f>
        <v>Customers</v>
      </c>
      <c r="E10" s="36" t="s">
        <v>15</v>
      </c>
      <c r="F10" s="35" t="str">
        <f>B10</f>
        <v>Customers</v>
      </c>
      <c r="G10" s="36" t="s">
        <v>14</v>
      </c>
      <c r="I10" s="24"/>
    </row>
    <row r="11" spans="1:9" ht="14.25" x14ac:dyDescent="0.2">
      <c r="B11" s="39">
        <f>REC_programs_detail!B21</f>
        <v>0</v>
      </c>
      <c r="C11" s="40">
        <f>IF(B11=0,0,B11/'Summary Load Customers '!$B$18)</f>
        <v>0</v>
      </c>
      <c r="D11" s="39">
        <f>REC_programs_detail!C21</f>
        <v>0</v>
      </c>
      <c r="E11" s="40">
        <f>IF(D11=0,0,D11/('Summary Load Customers '!$D$18+'Summary Load Customers '!$F$18))</f>
        <v>0</v>
      </c>
      <c r="F11" s="39">
        <f>B11+D11</f>
        <v>0</v>
      </c>
      <c r="G11" s="40">
        <f>IF(F11=0,0,F11/'Summary Load Customers '!$H$18)</f>
        <v>0</v>
      </c>
    </row>
    <row r="12" spans="1:9" ht="15" x14ac:dyDescent="0.25">
      <c r="A12" s="90" t="str">
        <f>"As the above table shows, "&amp;TEXT(F11,"0,000")&amp;" of UI's customers, or "&amp;TEXT(G11,"0.0%")&amp;" are participating in the CTCleanEnergyOptions Program."</f>
        <v>As the above table shows, 0,000 of UI's customers, or 0.0% are participating in the CTCleanEnergyOptions Program.</v>
      </c>
      <c r="G12" s="46"/>
      <c r="H12" s="25"/>
    </row>
    <row r="13" spans="1:9" ht="15" x14ac:dyDescent="0.25">
      <c r="G13" s="46"/>
      <c r="H13" s="25"/>
    </row>
    <row r="14" spans="1:9" ht="15" x14ac:dyDescent="0.25">
      <c r="A14" s="107" t="s">
        <v>34</v>
      </c>
      <c r="G14" s="46"/>
      <c r="H14" s="25"/>
    </row>
    <row r="15" spans="1:9" ht="15" x14ac:dyDescent="0.2">
      <c r="A15" s="37"/>
      <c r="B15" s="27"/>
      <c r="C15" s="27"/>
      <c r="D15" s="27"/>
      <c r="E15" s="27"/>
      <c r="F15" s="27"/>
      <c r="G15" s="47"/>
      <c r="H15" s="23"/>
    </row>
    <row r="16" spans="1:9" ht="15" x14ac:dyDescent="0.25">
      <c r="A16" s="34"/>
      <c r="B16" s="29" t="s">
        <v>2</v>
      </c>
      <c r="C16" s="48"/>
      <c r="D16" s="29" t="s">
        <v>21</v>
      </c>
      <c r="E16" s="49"/>
      <c r="F16" s="29" t="s">
        <v>25</v>
      </c>
      <c r="G16" s="31"/>
    </row>
    <row r="17" spans="1:9" ht="15" x14ac:dyDescent="0.2">
      <c r="A17" s="37" t="s">
        <v>36</v>
      </c>
      <c r="B17" s="35" t="s">
        <v>10</v>
      </c>
      <c r="C17" s="36" t="s">
        <v>15</v>
      </c>
      <c r="D17" s="35" t="str">
        <f>B17</f>
        <v>Customers</v>
      </c>
      <c r="E17" s="36" t="s">
        <v>15</v>
      </c>
      <c r="F17" s="35" t="str">
        <f>B17</f>
        <v>Customers</v>
      </c>
      <c r="G17" s="36" t="s">
        <v>14</v>
      </c>
      <c r="I17" s="24"/>
    </row>
    <row r="18" spans="1:9" ht="14.25" x14ac:dyDescent="0.2">
      <c r="B18" s="39">
        <f>REC_programs_detail!B26</f>
        <v>491</v>
      </c>
      <c r="C18" s="40">
        <f>IF(B18=0,0,B18/'Summary Load Customers '!$B$18)</f>
        <v>1.5887602492832783E-3</v>
      </c>
      <c r="D18" s="39">
        <f>REC_programs_detail!C26</f>
        <v>55</v>
      </c>
      <c r="E18" s="40">
        <f>IF(D18=0,0,D18/('Summary Load Customers '!$D$18+'Summary Load Customers '!$F$18))</f>
        <v>1.4274961717148122E-3</v>
      </c>
      <c r="F18" s="39">
        <f>B18+D18</f>
        <v>546</v>
      </c>
      <c r="G18" s="40">
        <f>IF(F18=0,0,F18/'Summary Load Customers '!$H$18)</f>
        <v>1.5708839818744157E-3</v>
      </c>
    </row>
    <row r="19" spans="1:9" ht="14.25" x14ac:dyDescent="0.2">
      <c r="A19" s="90" t="str">
        <f>"As the above table shows, "&amp;TEXT(F18,"0,000")&amp;" of UI's customers, or "&amp;TEXT(G18,"0.0%")&amp;" are participating in the REC only program."</f>
        <v>As the above table shows, 0,546 of UI's customers, or 0.2% are participating in the REC only program.</v>
      </c>
      <c r="B19" s="45"/>
      <c r="C19" s="44"/>
      <c r="D19" s="45"/>
      <c r="E19" s="44"/>
      <c r="F19" s="45"/>
      <c r="G19" s="44"/>
      <c r="H19" s="45"/>
    </row>
    <row r="20" spans="1:9" ht="14.25" x14ac:dyDescent="0.2">
      <c r="A20" s="42"/>
      <c r="B20" s="45"/>
      <c r="C20" s="44"/>
      <c r="D20" s="45"/>
      <c r="E20" s="44"/>
      <c r="F20" s="45"/>
      <c r="G20" s="44"/>
      <c r="H20" s="45"/>
    </row>
    <row r="21" spans="1:9" ht="15" x14ac:dyDescent="0.25">
      <c r="A21" s="118" t="s">
        <v>38</v>
      </c>
      <c r="B21" s="118"/>
      <c r="C21" s="118"/>
      <c r="D21" s="118"/>
      <c r="E21" s="118"/>
      <c r="F21" s="118"/>
      <c r="G21" s="118"/>
      <c r="I21" s="44"/>
    </row>
    <row r="22" spans="1:9" ht="15" x14ac:dyDescent="0.2">
      <c r="A22" s="37"/>
      <c r="B22" s="27"/>
      <c r="C22" s="27"/>
      <c r="D22" s="27"/>
      <c r="E22" s="27"/>
      <c r="F22" s="27"/>
      <c r="G22" s="47"/>
      <c r="H22" s="23"/>
      <c r="I22" s="44"/>
    </row>
    <row r="23" spans="1:9" ht="15" x14ac:dyDescent="0.25">
      <c r="A23" s="34"/>
      <c r="B23" s="29" t="s">
        <v>2</v>
      </c>
      <c r="C23" s="48"/>
      <c r="D23" s="29" t="s">
        <v>21</v>
      </c>
      <c r="E23" s="49"/>
      <c r="F23" s="29" t="s">
        <v>25</v>
      </c>
      <c r="G23" s="31"/>
    </row>
    <row r="24" spans="1:9" ht="15" x14ac:dyDescent="0.2">
      <c r="A24" s="37" t="s">
        <v>37</v>
      </c>
      <c r="B24" s="35" t="s">
        <v>10</v>
      </c>
      <c r="C24" s="36" t="s">
        <v>15</v>
      </c>
      <c r="D24" s="35" t="str">
        <f>B24</f>
        <v>Customers</v>
      </c>
      <c r="E24" s="36" t="s">
        <v>15</v>
      </c>
      <c r="F24" s="35" t="str">
        <f>B24</f>
        <v>Customers</v>
      </c>
      <c r="G24" s="36" t="s">
        <v>14</v>
      </c>
      <c r="I24" s="24"/>
    </row>
    <row r="25" spans="1:9" ht="14.25" x14ac:dyDescent="0.2">
      <c r="B25" s="39">
        <f>B11+B18</f>
        <v>491</v>
      </c>
      <c r="C25" s="40">
        <f>IF(B25=0,0,B25/'Summary Load Customers '!$B$18)</f>
        <v>1.5887602492832783E-3</v>
      </c>
      <c r="D25" s="39">
        <f>D11+D18</f>
        <v>55</v>
      </c>
      <c r="E25" s="40">
        <f>IF(D25=0,0,D25/('Summary Load Customers '!$D$18+'Summary Load Customers '!$F$18))</f>
        <v>1.4274961717148122E-3</v>
      </c>
      <c r="F25" s="39">
        <f>B25+D25</f>
        <v>546</v>
      </c>
      <c r="G25" s="40">
        <f>IF(F25=0,0,F25/'Summary Load Customers '!$H$18)</f>
        <v>1.5708839818744157E-3</v>
      </c>
    </row>
    <row r="26" spans="1:9" ht="15" x14ac:dyDescent="0.25">
      <c r="A26" s="90" t="str">
        <f>"As the above table shows, "&amp;TEXT(F25,"0,000")&amp;" of UI's customers, or "&amp;TEXT(G25,"0.0%")&amp;" are participating in the combined REC programs."</f>
        <v>As the above table shows, 0,546 of UI's customers, or 0.2% are participating in the combined REC programs.</v>
      </c>
      <c r="G26" s="46"/>
      <c r="H26" s="25"/>
    </row>
    <row r="27" spans="1:9" ht="15" x14ac:dyDescent="0.25">
      <c r="G27" s="46"/>
      <c r="H27" s="25"/>
    </row>
    <row r="28" spans="1:9" ht="13.5" x14ac:dyDescent="0.2">
      <c r="A28" s="57" t="s">
        <v>24</v>
      </c>
    </row>
    <row r="29" spans="1:9" ht="13.5" x14ac:dyDescent="0.2">
      <c r="A29" s="57"/>
    </row>
    <row r="30" spans="1:9" ht="13.5" x14ac:dyDescent="0.2">
      <c r="A30" s="57" t="s">
        <v>43</v>
      </c>
    </row>
    <row r="31" spans="1:9" x14ac:dyDescent="0.2">
      <c r="A31" s="58" t="s">
        <v>41</v>
      </c>
    </row>
    <row r="33" spans="1:1" x14ac:dyDescent="0.2">
      <c r="A33" s="58" t="s">
        <v>13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10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
&amp;A
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Zeros="0" view="pageLayout" zoomScaleNormal="110" workbookViewId="0">
      <selection activeCell="B25" sqref="B25"/>
    </sheetView>
  </sheetViews>
  <sheetFormatPr defaultColWidth="9.140625" defaultRowHeight="11.25" x14ac:dyDescent="0.2"/>
  <cols>
    <col min="1" max="1" width="28" style="65" customWidth="1"/>
    <col min="2" max="3" width="19.140625" style="65" customWidth="1"/>
    <col min="4" max="4" width="20.28515625" style="65" customWidth="1"/>
    <col min="5" max="5" width="7.140625" style="65" customWidth="1"/>
    <col min="6" max="6" width="12.5703125" style="65" customWidth="1"/>
    <col min="7" max="7" width="10.42578125" style="65" customWidth="1"/>
    <col min="8" max="16384" width="9.140625" style="65"/>
  </cols>
  <sheetData>
    <row r="1" spans="1:9" s="64" customFormat="1" ht="15" customHeight="1" x14ac:dyDescent="0.2">
      <c r="A1" s="123" t="s">
        <v>26</v>
      </c>
      <c r="B1" s="123"/>
      <c r="C1" s="123"/>
      <c r="D1" s="123"/>
      <c r="E1" s="62"/>
      <c r="F1" s="62"/>
      <c r="G1" s="63"/>
    </row>
    <row r="2" spans="1:9" s="7" customFormat="1" ht="18" customHeight="1" x14ac:dyDescent="0.2">
      <c r="A2" s="123" t="str">
        <f>'Summary Load Customers '!A2</f>
        <v>Data as of February 28, 2023</v>
      </c>
      <c r="B2" s="123"/>
      <c r="C2" s="123"/>
      <c r="D2" s="123"/>
      <c r="E2" s="22"/>
      <c r="F2" s="22"/>
      <c r="G2" s="23"/>
      <c r="H2" s="24"/>
      <c r="I2" s="24"/>
    </row>
    <row r="3" spans="1:9" s="64" customFormat="1" ht="15" customHeight="1" x14ac:dyDescent="0.2">
      <c r="A3" s="65"/>
      <c r="B3" s="65"/>
      <c r="C3" s="66"/>
      <c r="D3" s="66"/>
      <c r="E3" s="62"/>
      <c r="F3" s="62"/>
      <c r="G3" s="63"/>
    </row>
    <row r="4" spans="1:9" s="64" customFormat="1" ht="22.5" x14ac:dyDescent="0.2">
      <c r="A4" s="67" t="s">
        <v>28</v>
      </c>
      <c r="B4" s="68" t="s">
        <v>2</v>
      </c>
      <c r="C4" s="67" t="s">
        <v>3</v>
      </c>
      <c r="D4" s="67" t="s">
        <v>25</v>
      </c>
      <c r="E4" s="62"/>
      <c r="F4" s="62"/>
      <c r="G4" s="63"/>
    </row>
    <row r="5" spans="1:9" s="64" customFormat="1" ht="15" customHeight="1" x14ac:dyDescent="0.2">
      <c r="A5" s="73" t="s">
        <v>27</v>
      </c>
      <c r="B5" s="74"/>
      <c r="C5" s="75"/>
      <c r="D5" s="76">
        <f>IF(C5=0,0,C5)</f>
        <v>0</v>
      </c>
      <c r="E5" s="62"/>
      <c r="F5" s="62"/>
      <c r="G5" s="63"/>
    </row>
    <row r="6" spans="1:9" x14ac:dyDescent="0.2">
      <c r="A6" s="73" t="s">
        <v>11</v>
      </c>
      <c r="B6" s="75">
        <v>0</v>
      </c>
      <c r="C6" s="75">
        <v>0</v>
      </c>
      <c r="D6" s="76">
        <f>SUM(B6:C6)</f>
        <v>0</v>
      </c>
      <c r="E6" s="66"/>
      <c r="F6" s="66"/>
      <c r="G6" s="66"/>
    </row>
    <row r="7" spans="1:9" s="72" customFormat="1" x14ac:dyDescent="0.2">
      <c r="A7" s="73" t="s">
        <v>12</v>
      </c>
      <c r="B7" s="75">
        <v>0</v>
      </c>
      <c r="C7" s="75">
        <v>0</v>
      </c>
      <c r="D7" s="76">
        <f>SUM(B7:C7)</f>
        <v>0</v>
      </c>
      <c r="E7" s="69"/>
      <c r="F7" s="69"/>
      <c r="G7" s="70"/>
      <c r="H7" s="71"/>
    </row>
    <row r="8" spans="1:9" x14ac:dyDescent="0.2">
      <c r="A8" s="81" t="s">
        <v>4</v>
      </c>
      <c r="B8" s="82">
        <f>IF(B6+B7=0,0,B6+B7)</f>
        <v>0</v>
      </c>
      <c r="C8" s="82">
        <f>IF(SUM(C5:C7)=0,0,SUM(C5:C7))</f>
        <v>0</v>
      </c>
      <c r="D8" s="82">
        <f>IF(SUM(D5:D7)=0,0,SUM(D5:D7))</f>
        <v>0</v>
      </c>
      <c r="E8" s="66"/>
      <c r="F8" s="66"/>
      <c r="G8" s="77"/>
      <c r="H8" s="66"/>
    </row>
    <row r="9" spans="1:9" x14ac:dyDescent="0.2">
      <c r="A9" s="66"/>
      <c r="B9" s="83"/>
      <c r="C9" s="83"/>
      <c r="D9" s="83"/>
      <c r="E9" s="78"/>
      <c r="F9" s="78"/>
      <c r="G9" s="77"/>
      <c r="H9" s="66"/>
    </row>
    <row r="10" spans="1:9" ht="22.5" x14ac:dyDescent="0.2">
      <c r="A10" s="102" t="s">
        <v>31</v>
      </c>
      <c r="B10" s="67" t="s">
        <v>2</v>
      </c>
      <c r="C10" s="67" t="str">
        <f>C4</f>
        <v>Business</v>
      </c>
      <c r="D10" s="67" t="s">
        <v>25</v>
      </c>
      <c r="E10" s="79"/>
      <c r="F10" s="80"/>
      <c r="G10" s="77"/>
      <c r="H10" s="66"/>
    </row>
    <row r="11" spans="1:9" x14ac:dyDescent="0.2">
      <c r="A11" s="73" t="s">
        <v>27</v>
      </c>
      <c r="B11" s="74"/>
      <c r="C11" s="75"/>
      <c r="D11" s="76">
        <f>IF(C11=0,0,C11)</f>
        <v>0</v>
      </c>
      <c r="E11" s="79"/>
      <c r="F11" s="80"/>
      <c r="G11" s="77"/>
      <c r="H11" s="66"/>
    </row>
    <row r="12" spans="1:9" x14ac:dyDescent="0.2">
      <c r="A12" s="73" t="s">
        <v>11</v>
      </c>
      <c r="B12" s="75">
        <v>0</v>
      </c>
      <c r="C12" s="75">
        <v>0</v>
      </c>
      <c r="D12" s="76">
        <f>SUM(B12:C12)</f>
        <v>0</v>
      </c>
      <c r="E12" s="79"/>
      <c r="F12" s="80"/>
      <c r="G12" s="84"/>
      <c r="H12" s="66"/>
    </row>
    <row r="13" spans="1:9" x14ac:dyDescent="0.2">
      <c r="A13" s="73" t="s">
        <v>12</v>
      </c>
      <c r="B13" s="75">
        <v>0</v>
      </c>
      <c r="C13" s="75">
        <v>0</v>
      </c>
      <c r="D13" s="76">
        <f>SUM(B13:C13)</f>
        <v>0</v>
      </c>
      <c r="E13" s="85"/>
      <c r="F13" s="86"/>
      <c r="G13" s="84"/>
      <c r="H13" s="66"/>
    </row>
    <row r="14" spans="1:9" x14ac:dyDescent="0.2">
      <c r="A14" s="81" t="str">
        <f>A8</f>
        <v>Total</v>
      </c>
      <c r="B14" s="82">
        <f>IF(B12+B13=0,0,B12+B13)</f>
        <v>0</v>
      </c>
      <c r="C14" s="82">
        <f>IF(SUM(C11:C13)=0,0,SUM(C11:C13))</f>
        <v>0</v>
      </c>
      <c r="D14" s="82">
        <f>IF(SUM(D11:D13)=0,0,SUM(D11:D13))</f>
        <v>0</v>
      </c>
      <c r="E14" s="66"/>
      <c r="F14" s="66"/>
      <c r="G14" s="84"/>
      <c r="H14" s="66"/>
    </row>
    <row r="15" spans="1:9" x14ac:dyDescent="0.2">
      <c r="A15" s="66"/>
      <c r="B15" s="66"/>
      <c r="C15" s="66"/>
      <c r="D15" s="89"/>
      <c r="E15" s="78"/>
      <c r="F15" s="78"/>
      <c r="G15" s="77"/>
      <c r="H15" s="66"/>
    </row>
    <row r="16" spans="1:9" ht="22.5" x14ac:dyDescent="0.2">
      <c r="A16" s="67" t="s">
        <v>32</v>
      </c>
      <c r="B16" s="67" t="s">
        <v>2</v>
      </c>
      <c r="C16" s="67" t="str">
        <f>C4</f>
        <v>Business</v>
      </c>
      <c r="D16" s="67" t="s">
        <v>25</v>
      </c>
      <c r="E16" s="79"/>
      <c r="F16" s="80"/>
      <c r="G16" s="77"/>
      <c r="H16" s="66"/>
    </row>
    <row r="17" spans="1:8" x14ac:dyDescent="0.2">
      <c r="A17" s="73" t="s">
        <v>27</v>
      </c>
      <c r="B17" s="74"/>
      <c r="C17" s="87">
        <f t="shared" ref="C17:D18" si="0">IF(C5+C11=0,0,C5+C11)</f>
        <v>0</v>
      </c>
      <c r="D17" s="76"/>
      <c r="E17" s="79"/>
      <c r="F17" s="80"/>
      <c r="G17" s="77"/>
      <c r="H17" s="66"/>
    </row>
    <row r="18" spans="1:8" x14ac:dyDescent="0.2">
      <c r="A18" s="73" t="s">
        <v>11</v>
      </c>
      <c r="B18" s="87">
        <f>IF(B6+B12=0,0,B6+B12)</f>
        <v>0</v>
      </c>
      <c r="C18" s="87">
        <f>IF(C6+C12=0,0,C6+C12)</f>
        <v>0</v>
      </c>
      <c r="D18" s="76">
        <f t="shared" si="0"/>
        <v>0</v>
      </c>
      <c r="E18" s="79"/>
      <c r="F18" s="80"/>
      <c r="G18" s="84"/>
      <c r="H18" s="66"/>
    </row>
    <row r="19" spans="1:8" x14ac:dyDescent="0.2">
      <c r="A19" s="73" t="s">
        <v>12</v>
      </c>
      <c r="B19" s="87">
        <f>IF(B7+B13=0,0,B7+B13)</f>
        <v>0</v>
      </c>
      <c r="C19" s="87">
        <f>IF(C7+C13=0,0,C7+C13)</f>
        <v>0</v>
      </c>
      <c r="D19" s="76">
        <f>IF(D7+D13=0,0,D7+D13)</f>
        <v>0</v>
      </c>
      <c r="E19" s="85"/>
      <c r="F19" s="86"/>
      <c r="G19" s="84"/>
      <c r="H19" s="66"/>
    </row>
    <row r="20" spans="1:8" x14ac:dyDescent="0.2">
      <c r="A20" s="81" t="str">
        <f>A8</f>
        <v>Total</v>
      </c>
      <c r="B20" s="82">
        <f>IF(B18+B19=0,0,B18+B19)</f>
        <v>0</v>
      </c>
      <c r="C20" s="82">
        <f>IF(SUM(C17:C19)=0,0,SUM(C17:C19))</f>
        <v>0</v>
      </c>
      <c r="D20" s="82">
        <f>SUM(D17:D19)</f>
        <v>0</v>
      </c>
      <c r="E20" s="84"/>
      <c r="F20" s="84"/>
      <c r="G20" s="84"/>
      <c r="H20" s="66"/>
    </row>
    <row r="21" spans="1:8" x14ac:dyDescent="0.2">
      <c r="B21" s="66"/>
      <c r="C21" s="66"/>
      <c r="E21" s="77"/>
      <c r="F21" s="84"/>
      <c r="G21" s="84"/>
      <c r="H21" s="66"/>
    </row>
    <row r="22" spans="1:8" ht="22.5" x14ac:dyDescent="0.2">
      <c r="A22" s="102" t="s">
        <v>29</v>
      </c>
      <c r="B22" s="67" t="s">
        <v>2</v>
      </c>
      <c r="C22" s="67" t="s">
        <v>3</v>
      </c>
      <c r="D22" s="67" t="s">
        <v>25</v>
      </c>
      <c r="E22" s="66"/>
      <c r="F22" s="84"/>
      <c r="G22" s="84"/>
      <c r="H22" s="66"/>
    </row>
    <row r="23" spans="1:8" x14ac:dyDescent="0.2">
      <c r="A23" s="73" t="s">
        <v>27</v>
      </c>
      <c r="B23" s="74"/>
      <c r="C23" s="87">
        <f>IF(C11+C17=0,0,C11+C17)</f>
        <v>0</v>
      </c>
      <c r="D23" s="76">
        <f>IF(C23=0,0,C23)</f>
        <v>0</v>
      </c>
      <c r="E23" s="66"/>
      <c r="F23" s="84"/>
      <c r="G23" s="84"/>
      <c r="H23" s="66"/>
    </row>
    <row r="24" spans="1:8" x14ac:dyDescent="0.2">
      <c r="A24" s="73" t="s">
        <v>11</v>
      </c>
      <c r="B24" s="75">
        <v>146</v>
      </c>
      <c r="C24" s="75">
        <v>11</v>
      </c>
      <c r="D24" s="76">
        <f>SUM(B24:C24)</f>
        <v>157</v>
      </c>
      <c r="E24" s="66"/>
      <c r="F24" s="84"/>
      <c r="G24" s="84"/>
      <c r="H24" s="66"/>
    </row>
    <row r="25" spans="1:8" x14ac:dyDescent="0.2">
      <c r="A25" s="73" t="s">
        <v>12</v>
      </c>
      <c r="B25" s="75">
        <v>345</v>
      </c>
      <c r="C25" s="75">
        <v>44</v>
      </c>
      <c r="D25" s="76">
        <f>SUM(B25:C25)</f>
        <v>389</v>
      </c>
    </row>
    <row r="26" spans="1:8" x14ac:dyDescent="0.2">
      <c r="A26" s="81" t="str">
        <f>A20</f>
        <v>Total</v>
      </c>
      <c r="B26" s="96">
        <f>IF(B24+B25=0,0,B24+B25)</f>
        <v>491</v>
      </c>
      <c r="C26" s="82">
        <f>IF(SUM(C23:C25)=0,0,SUM(C23:C25))</f>
        <v>55</v>
      </c>
      <c r="D26" s="82">
        <f>IF(SUM(D23:D25)=0,0,SUM(D23:D25))</f>
        <v>546</v>
      </c>
    </row>
    <row r="28" spans="1:8" x14ac:dyDescent="0.2">
      <c r="A28" s="67" t="s">
        <v>30</v>
      </c>
      <c r="B28" s="67" t="s">
        <v>2</v>
      </c>
      <c r="C28" s="67" t="str">
        <f>C16</f>
        <v>Business</v>
      </c>
      <c r="D28" s="67" t="s">
        <v>25</v>
      </c>
    </row>
    <row r="29" spans="1:8" x14ac:dyDescent="0.2">
      <c r="A29" s="73" t="s">
        <v>27</v>
      </c>
      <c r="B29" s="74">
        <f>B17+B23</f>
        <v>0</v>
      </c>
      <c r="C29" s="87">
        <f t="shared" ref="C29:D31" si="1">C17+C23</f>
        <v>0</v>
      </c>
      <c r="D29" s="76">
        <f t="shared" si="1"/>
        <v>0</v>
      </c>
    </row>
    <row r="30" spans="1:8" x14ac:dyDescent="0.2">
      <c r="A30" s="73" t="s">
        <v>11</v>
      </c>
      <c r="B30" s="87">
        <f>B18+B24</f>
        <v>146</v>
      </c>
      <c r="C30" s="87">
        <f t="shared" si="1"/>
        <v>11</v>
      </c>
      <c r="D30" s="76">
        <f t="shared" si="1"/>
        <v>157</v>
      </c>
    </row>
    <row r="31" spans="1:8" x14ac:dyDescent="0.2">
      <c r="A31" s="73" t="s">
        <v>12</v>
      </c>
      <c r="B31" s="87">
        <f>B19+B25</f>
        <v>345</v>
      </c>
      <c r="C31" s="87">
        <f t="shared" si="1"/>
        <v>44</v>
      </c>
      <c r="D31" s="76">
        <f t="shared" si="1"/>
        <v>389</v>
      </c>
    </row>
    <row r="32" spans="1:8" x14ac:dyDescent="0.2">
      <c r="A32" s="81" t="str">
        <f>A26</f>
        <v>Total</v>
      </c>
      <c r="B32" s="82">
        <f>IF(B30+B31=0,0,B30+B31)</f>
        <v>491</v>
      </c>
      <c r="C32" s="82">
        <f>IF(SUM(C29:C31)=0,0,SUM(C29:C31))</f>
        <v>55</v>
      </c>
      <c r="D32" s="82">
        <f>SUM(D29:D31)</f>
        <v>546</v>
      </c>
    </row>
    <row r="33" spans="1:7" x14ac:dyDescent="0.2">
      <c r="E33" s="66"/>
      <c r="F33" s="66"/>
      <c r="G33" s="66"/>
    </row>
    <row r="34" spans="1:7" x14ac:dyDescent="0.2">
      <c r="A34" s="88" t="str">
        <f>"In summary, "&amp;TEXT($D$20,"0,000")&amp; " of UI's customers are participating in the CTCleanEnergyOptions Program"</f>
        <v>In summary, 0,000 of UI's customers are participating in the CTCleanEnergyOptions Program</v>
      </c>
    </row>
    <row r="35" spans="1:7" x14ac:dyDescent="0.2">
      <c r="A35" s="88" t="str">
        <f>"In summary, "&amp;TEXT($D$26,"000")&amp; " of UI's customers are participating in RECs only with Sterling Planet"</f>
        <v>In summary, 546 of UI's customers are participating in RECs only with Sterling Planet</v>
      </c>
    </row>
    <row r="36" spans="1:7" x14ac:dyDescent="0.2">
      <c r="A36" s="88" t="str">
        <f>"In summary, "&amp;TEXT($D$32,"0,000")&amp; " of UI's customers are participating in all REC programs"</f>
        <v>In summary, 0,546 of UI's customers are participating in all REC programs</v>
      </c>
    </row>
    <row r="38" spans="1:7" x14ac:dyDescent="0.2">
      <c r="A38" s="89" t="s">
        <v>16</v>
      </c>
    </row>
  </sheetData>
  <mergeCells count="2">
    <mergeCell ref="A1:D1"/>
    <mergeCell ref="A2:D2"/>
  </mergeCells>
  <phoneticPr fontId="10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
&amp;A&amp;R&amp;"Arial,Bold"Page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FD2D0F-D661-492B-92FB-4A59CF007833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cd86f438-89d9-47e9-a174-9969eae3e2b9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1ff2d7e-782e-4868-861d-b0d3b4b9d0c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Load Customers </vt:lpstr>
      <vt:lpstr>Suppliers</vt:lpstr>
      <vt:lpstr>Summary REC Customers</vt:lpstr>
      <vt:lpstr>REC_programs_detail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BRIAN SULLIVAN</cp:lastModifiedBy>
  <cp:lastPrinted>2022-04-13T13:58:54Z</cp:lastPrinted>
  <dcterms:created xsi:type="dcterms:W3CDTF">2009-03-17T13:14:28Z</dcterms:created>
  <dcterms:modified xsi:type="dcterms:W3CDTF">2023-06-13T13:43:30Z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