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6/2026-03/"/>
    </mc:Choice>
  </mc:AlternateContent>
  <xr:revisionPtr revIDLastSave="0" documentId="8_{A67A7EC1-ABD7-4945-B6D3-FAC214FFCC55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7" l="1"/>
  <c r="F17" i="7"/>
  <c r="D17" i="7"/>
  <c r="B17" i="7"/>
  <c r="A17" i="7"/>
  <c r="F16" i="7"/>
  <c r="D16" i="7"/>
  <c r="B16" i="7"/>
  <c r="A16" i="7"/>
  <c r="D15" i="7"/>
  <c r="F15" i="7" s="1"/>
  <c r="H15" i="7" s="1"/>
  <c r="F9" i="7"/>
  <c r="D9" i="7"/>
  <c r="G8" i="7"/>
  <c r="F8" i="7"/>
  <c r="D8" i="7"/>
  <c r="H8" i="7" s="1"/>
  <c r="B8" i="7"/>
  <c r="G7" i="7"/>
  <c r="F7" i="7"/>
  <c r="D7" i="7"/>
  <c r="H7" i="7" s="1"/>
  <c r="B7" i="7"/>
  <c r="B9" i="7" s="1"/>
  <c r="D6" i="7"/>
  <c r="F6" i="7" s="1"/>
  <c r="H6" i="7" s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H17" i="7" l="1"/>
  <c r="H16" i="7"/>
  <c r="H18" i="7" s="1"/>
  <c r="I8" i="7"/>
  <c r="A11" i="7"/>
  <c r="H9" i="7"/>
  <c r="I7" i="7" s="1"/>
  <c r="A10" i="7" s="1"/>
  <c r="C7" i="7"/>
  <c r="C8" i="7"/>
  <c r="E7" i="7"/>
  <c r="E8" i="7"/>
  <c r="B18" i="7"/>
  <c r="C17" i="7" s="1"/>
  <c r="D18" i="7"/>
  <c r="E16" i="7" s="1"/>
  <c r="F18" i="7"/>
  <c r="G16" i="7" s="1"/>
  <c r="C26" i="5"/>
  <c r="B26" i="5"/>
  <c r="D25" i="5"/>
  <c r="D24" i="5"/>
  <c r="I17" i="7" l="1"/>
  <c r="A21" i="7" s="1"/>
  <c r="I16" i="7"/>
  <c r="A20" i="7" s="1"/>
  <c r="E17" i="7"/>
  <c r="G17" i="7"/>
  <c r="C16" i="7"/>
  <c r="D26" i="5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<sst xmlns="http://schemas.openxmlformats.org/spreadsheetml/2006/main" count="135" uniqueCount="75">
  <si>
    <t>Electric Supplier MWh Load and Customer Count</t>
  </si>
  <si>
    <t>Data as of March 31, 2026</t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</si>
  <si>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</si>
  <si>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</si>
  <si>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</si>
  <si>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</si>
  <si>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</si>
  <si>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</si>
  <si>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</si>
  <si>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</si>
  <si>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</si>
  <si>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</si>
  <si>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</si>
  <si>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</si>
  <si>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t>Customers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</si>
  <si>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</si>
  <si>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</si>
  <si>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</si>
  <si>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</si>
  <si>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</si>
  <si>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</si>
  <si>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</si>
  <si>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</si>
  <si>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</si>
  <si>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</si>
  <si>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</si>
  <si>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</si>
  <si>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</si>
  <si>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</si>
  <si>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</si>
  <si>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</si>
  <si>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</si>
  <si>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</si>
  <si>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</si>
  <si>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</si>
  <si>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</si>
  <si>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</si>
  <si>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</si>
  <si>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</si>
  <si>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</si>
  <si>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</si>
  <si>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</si>
  <si>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</si>
  <si>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</si>
  <si>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</si>
  <si>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</si>
  <si>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</si>
  <si>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</si>
  <si>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</si>
  <si>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</si>
  <si>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 xml:space="preserve"> 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</si>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</sst>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18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4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4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2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5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4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5" fontId="8" fillId="2" borderId="0" xfId="0" applyNumberFormat="1" applyFont="1" applyFill="1" applyAlignment="1">
      <alignment horizontal="centerContinuous" vertical="center"/>
    </xf>
    <xf numFmtId="0" fontId="10" fillId="3" borderId="2" xfId="0" applyFont="1" applyFill="1" applyBorder="1" applyAlignment="1">
      <alignment horizontal="center" vertical="center" wrapText="1"/>
    </xf>
    <xf numFmtId="164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/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4" fontId="1" fillId="0" borderId="2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4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>
      <alignment horizontal="right"/>
    </xf>
    <xf numFmtId="3" fontId="0" fillId="0" borderId="2" xfId="0" applyNumberFormat="1" applyBorder="1"/>
    <xf numFmtId="3" fontId="1" fillId="0" borderId="2" xfId="0" applyNumberFormat="1" applyFont="1" applyBorder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User\WRK_GRP\File_output_data\Billing_Data\Daily_Load_Ufe\2026_Total\2026_03_Month_total_load_by_segment.xlsx" TargetMode="External"/><Relationship Id="rId1" Type="http://schemas.openxmlformats.org/officeDocument/2006/relationships/externalLinkPath" Target="file:///I:\User\WRK_GRP\File_output_data\Billing_Data\Daily_Load_Ufe\2026_Total\2026_03_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iberdrolaus.sharepoint.com/sites/LoadSettlementandSupplierRelations/Documentos%20compartidos/Regulatory/06-10-22_Switch_reports_and_letters/Customer_count_files/2026/202603_March_2026_customer_count_calculation.xlsx" TargetMode="External"/><Relationship Id="rId2" Type="http://schemas.microsoft.com/office/2019/04/relationships/externalLinkLongPath" Target="/sites/LoadSettlementandSupplierRelations/Documentos%20compartidos/Regulatory/06-10-22_Switch_reports_and_letters/Customer_count_files/2026/202603_March_2026_customer_count_calculation.xlsx?071E6EA4" TargetMode="External"/><Relationship Id="rId1" Type="http://schemas.openxmlformats.org/officeDocument/2006/relationships/externalLinkPath" Target="file:///\\071E6EA4\202603_March_2026_customer_count_calculation.xlsx" TargetMode="External"/><Relationship Id="rId4" Type="http://schemas.openxmlformats.org/officeDocument/2006/relationships/externalLinkPath" Target="../../../../../../LoadSettlementandSupplierRelations/Documentos%20compartidos/Regulatory/06-10-22_Switch_reports_and_letters/Customer_count_files/2026/202603_March_2026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&amp;40235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25208.442000000032</v>
          </cell>
        </row>
        <row r="25">
          <cell r="H25">
            <v>59894.293000000063</v>
          </cell>
        </row>
        <row r="26">
          <cell r="H26">
            <v>103241.932</v>
          </cell>
        </row>
        <row r="29">
          <cell r="H29">
            <v>112088.41099999999</v>
          </cell>
        </row>
        <row r="30">
          <cell r="H30">
            <v>52172.453999999998</v>
          </cell>
        </row>
        <row r="31">
          <cell r="H31">
            <v>2230.2880000000005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49409</v>
          </cell>
        </row>
        <row r="19">
          <cell r="B19">
            <v>17720</v>
          </cell>
        </row>
        <row r="20">
          <cell r="B20">
            <v>190</v>
          </cell>
        </row>
        <row r="22">
          <cell r="B22">
            <v>264926</v>
          </cell>
        </row>
        <row r="23">
          <cell r="B23">
            <v>20417</v>
          </cell>
        </row>
        <row r="24">
          <cell r="B24">
            <v>23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view="pageLayout" zoomScale="106" zoomScaleNormal="100" zoomScalePageLayoutView="106" workbookViewId="0">
      <selection activeCell="H16" sqref="H16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4" t="s">
        <v>1</v>
      </c>
      <c r="B2" s="64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26.25" customHeight="1">
      <c r="A6" s="21"/>
      <c r="B6" s="22" t="s">
        <v>7</v>
      </c>
      <c r="C6" s="23" t="s">
        <v>8</v>
      </c>
      <c r="D6" s="22" t="str">
        <f>B6</f>
        <v>MWh</v>
      </c>
      <c r="E6" s="23" t="s">
        <v>8</v>
      </c>
      <c r="F6" s="22" t="str">
        <f>D6</f>
        <v>MWh</v>
      </c>
      <c r="G6" s="23" t="s">
        <v>8</v>
      </c>
      <c r="H6" s="22" t="str">
        <f>F6</f>
        <v>MWh</v>
      </c>
      <c r="I6" s="23" t="s">
        <v>9</v>
      </c>
    </row>
    <row r="7" spans="1:9" ht="18" customHeight="1">
      <c r="A7" s="24" t="s">
        <v>10</v>
      </c>
      <c r="B7" s="44">
        <f>[1]Check!$H$24</f>
        <v>25208.442000000032</v>
      </c>
      <c r="C7" s="66">
        <f>IF(B7=0,0,B7/$B$9)</f>
        <v>0.18360538824586187</v>
      </c>
      <c r="D7" s="44">
        <f>[1]Check!$H$25</f>
        <v>59894.293000000063</v>
      </c>
      <c r="E7" s="66">
        <f>IF(D7=0,0,D7/$D$9)</f>
        <v>0.53445196370338144</v>
      </c>
      <c r="F7" s="44">
        <f>[1]Check!$H$26</f>
        <v>103241.932</v>
      </c>
      <c r="G7" s="66">
        <f>IF(F7=0,0,F7/$F$9)</f>
        <v>0.97885426134009501</v>
      </c>
      <c r="H7" s="67">
        <f>IF(B7+D7+F7=0,0,B7+D7+F7)</f>
        <v>188344.6670000001</v>
      </c>
      <c r="I7" s="25">
        <f>IF(H7=0,0,H7/$H$9)</f>
        <v>0.53079383868291563</v>
      </c>
    </row>
    <row r="8" spans="1:9" ht="18" customHeight="1">
      <c r="A8" s="24" t="s">
        <v>11</v>
      </c>
      <c r="B8" s="68">
        <f>[1]Check!$H$29</f>
        <v>112088.41099999999</v>
      </c>
      <c r="C8" s="66">
        <f>IF(B8=0,0,B8/$B$9)</f>
        <v>0.81639461175413808</v>
      </c>
      <c r="D8" s="68">
        <f>[1]Check!$H$30</f>
        <v>52172.453999999998</v>
      </c>
      <c r="E8" s="66">
        <f>IF(D8=0,0,D8/$D$9)</f>
        <v>0.46554803629661856</v>
      </c>
      <c r="F8" s="68">
        <f>[1]Check!$H$31</f>
        <v>2230.2880000000005</v>
      </c>
      <c r="G8" s="66">
        <f>IF(F8=0,0,F8/$F$9)</f>
        <v>2.1145738659904954E-2</v>
      </c>
      <c r="H8" s="68">
        <f>IF(B8+D8+F8=0,0,B8+D8+F8)</f>
        <v>166491.15299999999</v>
      </c>
      <c r="I8" s="25">
        <f>IF(H8=0,0,H8/$H$9)</f>
        <v>0.46920616131708448</v>
      </c>
    </row>
    <row r="9" spans="1:9" ht="18" customHeight="1">
      <c r="A9" s="24" t="s">
        <v>12</v>
      </c>
      <c r="B9" s="26">
        <f>SUM(B7:B8)</f>
        <v>137296.85300000003</v>
      </c>
      <c r="C9" s="27"/>
      <c r="D9" s="26">
        <f>SUM(D7:D8)</f>
        <v>112066.74700000006</v>
      </c>
      <c r="E9" s="27"/>
      <c r="F9" s="26">
        <f>SUM(F7:F8)</f>
        <v>105472.22</v>
      </c>
      <c r="G9" s="27"/>
      <c r="H9" s="26">
        <f>IF(H7+H8=0,0,H7+H8)</f>
        <v>354835.82000000007</v>
      </c>
      <c r="I9" s="28"/>
    </row>
    <row r="10" spans="1:9" ht="18" customHeight="1">
      <c r="A10" s="43" t="str">
        <f>"As the above table shows, "&amp;TEXT(H7,"0,000")&amp; " MWh, or "&amp;TEXT(I7,"0.0%")&amp;" of UI's total load is served by electric suppliers"</f>
        <v>As the above table shows, 188,345 MWh, or 53.1% of UI's total load is served by electric suppliers</v>
      </c>
    </row>
    <row r="11" spans="1:9" ht="18" customHeight="1">
      <c r="A11" s="43" t="str">
        <f>"while "&amp;TEXT(H8,"0,000")&amp;" MHh, or "&amp;TEXT(I8,"0.0%")&amp;" of the load is provided under Standard Service or Last Resort service through UI."</f>
        <v>while 166,491 MHh, or 46.9% of the load is provided under Standard Service or Last Resort service through UI.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13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8.5" customHeight="1">
      <c r="A15" s="21"/>
      <c r="B15" s="22" t="s">
        <v>14</v>
      </c>
      <c r="C15" s="23" t="s">
        <v>8</v>
      </c>
      <c r="D15" s="22" t="str">
        <f>B15</f>
        <v>Customers</v>
      </c>
      <c r="E15" s="23" t="s">
        <v>8</v>
      </c>
      <c r="F15" s="22" t="str">
        <f>D15</f>
        <v>Customers</v>
      </c>
      <c r="G15" s="23" t="s">
        <v>8</v>
      </c>
      <c r="H15" s="22" t="str">
        <f>F15</f>
        <v>Customers</v>
      </c>
      <c r="I15" s="23" t="s">
        <v>9</v>
      </c>
    </row>
    <row r="16" spans="1:9" ht="18" customHeight="1">
      <c r="A16" s="24" t="str">
        <f>A7</f>
        <v>Suppliers</v>
      </c>
      <c r="B16" s="44">
        <f>[2]Summary!$B$18</f>
        <v>49409</v>
      </c>
      <c r="C16" s="66">
        <f>IF(B16=0,0,B16/$B$18)</f>
        <v>0.15718580495331413</v>
      </c>
      <c r="D16" s="44">
        <f>[2]Summary!$B$19</f>
        <v>17720</v>
      </c>
      <c r="E16" s="66">
        <f>IF(D16=0,0,D16/$D$18)</f>
        <v>0.46464063770092034</v>
      </c>
      <c r="F16" s="44">
        <f>[2]Summary!$B$20</f>
        <v>190</v>
      </c>
      <c r="G16" s="66">
        <f>IF(F16=0,0,F16/$F$18)</f>
        <v>0.892018779342723</v>
      </c>
      <c r="H16" s="67">
        <f>IF(B16+D16+F16=0,0,B16+D16+F16)</f>
        <v>67319</v>
      </c>
      <c r="I16" s="25">
        <f>IF(H16=0,0,H16/$H$18)</f>
        <v>0.19087571061995831</v>
      </c>
    </row>
    <row r="17" spans="1:9" ht="18" customHeight="1">
      <c r="A17" s="24" t="str">
        <f>A8</f>
        <v>UI</v>
      </c>
      <c r="B17" s="45">
        <f>[2]Summary!$B$22</f>
        <v>264926</v>
      </c>
      <c r="C17" s="66">
        <f>IF(B17=0,0,B17/$B$18)</f>
        <v>0.84281419504668587</v>
      </c>
      <c r="D17" s="45">
        <f>[2]Summary!$B$23</f>
        <v>20417</v>
      </c>
      <c r="E17" s="66">
        <f>IF(D17=0,0,D17/$D$18)</f>
        <v>0.53535936229907966</v>
      </c>
      <c r="F17" s="45">
        <f>[2]Summary!$B$24</f>
        <v>23</v>
      </c>
      <c r="G17" s="66">
        <f>IF(F17=0,0,F17/$F$18)</f>
        <v>0.107981220657277</v>
      </c>
      <c r="H17" s="45">
        <f>IF(B17+D17+F17=0,0,B17+D17+F17)</f>
        <v>285366</v>
      </c>
      <c r="I17" s="25">
        <f>IF(H17=0,0,H17/$H$18)</f>
        <v>0.80912428938004166</v>
      </c>
    </row>
    <row r="18" spans="1:9" ht="18" customHeight="1">
      <c r="A18" s="24" t="str">
        <f>A9</f>
        <v>Total</v>
      </c>
      <c r="B18" s="26">
        <f>SUM(B16:B17)</f>
        <v>314335</v>
      </c>
      <c r="C18" s="36"/>
      <c r="D18" s="26">
        <f>SUM(D16:D17)</f>
        <v>38137</v>
      </c>
      <c r="E18" s="27"/>
      <c r="F18" s="26">
        <f>SUM(F16:F17)</f>
        <v>213</v>
      </c>
      <c r="G18" s="27"/>
      <c r="H18" s="26">
        <f>IF(H16+H17=0,0,H16+H17)</f>
        <v>352685</v>
      </c>
      <c r="I18" s="28"/>
    </row>
    <row r="19" spans="1:9" ht="18" customHeight="1">
      <c r="G19" s="32"/>
    </row>
    <row r="20" spans="1:9" ht="18" customHeight="1">
      <c r="A20" s="43" t="str">
        <f>"As the above table shows, "&amp;TEXT(H16,"0,000")&amp; " of UI's total customers, or "&amp;TEXT(I16,"0.0%")&amp;" are served by electric suppliers"</f>
        <v>As the above table shows, 67,319 of UI's total customers, or 19.1% are served by electric suppliers</v>
      </c>
      <c r="G20" s="32"/>
    </row>
    <row r="21" spans="1:9" ht="18" customHeight="1">
      <c r="A21" s="43" t="str">
        <f>"while "&amp;TEXT(H17,"0,000")&amp;" or "&amp;TEXT(I17,"0.0%")&amp;" of the customers continue to receive Standard Service or Last Resort service through UI."</f>
        <v>while 285,366 or 80.9% of the customers continue to receive Standard Service or Last Resort service through UI.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3.5">
      <c r="A24" s="42" t="s">
        <v>15</v>
      </c>
      <c r="I24" s="60"/>
    </row>
    <row r="25" spans="1:9" ht="13.5">
      <c r="A25" s="42" t="s">
        <v>16</v>
      </c>
    </row>
    <row r="26" spans="1:9" ht="13.5">
      <c r="A26" s="42" t="s">
        <v>17</v>
      </c>
    </row>
    <row r="27" spans="1:9">
      <c r="A27" s="43" t="s">
        <v>18</v>
      </c>
    </row>
    <row r="28" spans="1:9">
      <c r="A28" s="43" t="s">
        <v>19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showGridLines="0" showZeros="0" view="pageLayout" zoomScaleNormal="100" workbookViewId="0">
      <selection activeCell="E29" sqref="E29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20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March 31, 2026</v>
      </c>
      <c r="B2" s="6"/>
      <c r="C2" s="6"/>
      <c r="D2" s="6"/>
      <c r="E2" s="6"/>
      <c r="F2" s="76"/>
    </row>
    <row r="3" spans="1:6" s="5" customFormat="1" ht="18" customHeight="1">
      <c r="A3" s="77"/>
      <c r="B3" s="78"/>
      <c r="C3" s="78"/>
      <c r="D3" s="78"/>
      <c r="E3" s="7"/>
      <c r="F3" s="7"/>
    </row>
    <row r="4" spans="1:6">
      <c r="A4" s="79"/>
      <c r="B4" s="80"/>
      <c r="C4" s="2" t="s">
        <v>21</v>
      </c>
      <c r="D4" s="8"/>
      <c r="E4" s="8"/>
      <c r="F4" s="10"/>
    </row>
    <row r="5" spans="1:6" s="5" customFormat="1" ht="25.5">
      <c r="A5" s="81"/>
      <c r="B5" s="3" t="s">
        <v>22</v>
      </c>
      <c r="C5" s="3" t="s">
        <v>23</v>
      </c>
      <c r="D5" s="3" t="s">
        <v>24</v>
      </c>
      <c r="E5" s="3" t="s">
        <v>12</v>
      </c>
      <c r="F5" s="3" t="s">
        <v>25</v>
      </c>
    </row>
    <row r="6" spans="1:6">
      <c r="A6" s="62">
        <v>1</v>
      </c>
      <c r="B6" s="75" t="s">
        <v>26</v>
      </c>
      <c r="C6" s="95">
        <v>1076</v>
      </c>
      <c r="D6" s="95">
        <v>4563</v>
      </c>
      <c r="E6" s="95">
        <v>5639</v>
      </c>
      <c r="F6" s="82">
        <f>IF(E6=0,"",E6/$E$29)</f>
        <v>8.3766600314923195E-2</v>
      </c>
    </row>
    <row r="7" spans="1:6" ht="14.25" customHeight="1">
      <c r="A7" s="62">
        <v>2</v>
      </c>
      <c r="B7" s="75" t="s">
        <v>27</v>
      </c>
      <c r="C7" s="95">
        <v>2</v>
      </c>
      <c r="D7" s="95">
        <v>38</v>
      </c>
      <c r="E7" s="95">
        <v>40</v>
      </c>
      <c r="F7" s="82">
        <f t="shared" ref="F7:F28" si="0">IF(E7=0,"",E7/$E$29)</f>
        <v>5.9419471760896046E-4</v>
      </c>
    </row>
    <row r="8" spans="1:6" ht="14.25" customHeight="1">
      <c r="A8" s="62">
        <v>3</v>
      </c>
      <c r="B8" s="75" t="s">
        <v>28</v>
      </c>
      <c r="C8" s="95">
        <v>16037</v>
      </c>
      <c r="D8" s="95">
        <v>1599</v>
      </c>
      <c r="E8" s="95">
        <v>17636</v>
      </c>
      <c r="F8" s="82">
        <f t="shared" si="0"/>
        <v>0.26198045099379069</v>
      </c>
    </row>
    <row r="9" spans="1:6" ht="14.25" customHeight="1">
      <c r="A9" s="62">
        <v>4</v>
      </c>
      <c r="B9" s="75" t="s">
        <v>29</v>
      </c>
      <c r="C9" s="95">
        <v>60</v>
      </c>
      <c r="D9" s="95">
        <v>547</v>
      </c>
      <c r="E9" s="95">
        <v>607</v>
      </c>
      <c r="F9" s="82">
        <f t="shared" si="0"/>
        <v>9.0169048397159748E-3</v>
      </c>
    </row>
    <row r="10" spans="1:6" ht="14.25" customHeight="1">
      <c r="A10" s="62">
        <v>5</v>
      </c>
      <c r="B10" s="75" t="s">
        <v>30</v>
      </c>
      <c r="C10" s="95">
        <v>10676</v>
      </c>
      <c r="D10" s="95">
        <v>405</v>
      </c>
      <c r="E10" s="95">
        <v>11081</v>
      </c>
      <c r="F10" s="82">
        <f t="shared" si="0"/>
        <v>0.16460679164562228</v>
      </c>
    </row>
    <row r="11" spans="1:6" ht="14.25" customHeight="1">
      <c r="A11" s="62">
        <v>6</v>
      </c>
      <c r="B11" s="75" t="s">
        <v>31</v>
      </c>
      <c r="C11" s="95">
        <v>7627</v>
      </c>
      <c r="D11" s="95">
        <v>851</v>
      </c>
      <c r="E11" s="95">
        <v>8478</v>
      </c>
      <c r="F11" s="82">
        <f t="shared" si="0"/>
        <v>0.12593957039721917</v>
      </c>
    </row>
    <row r="12" spans="1:6" ht="14.25" customHeight="1">
      <c r="A12" s="62">
        <v>7</v>
      </c>
      <c r="B12" s="75" t="s">
        <v>32</v>
      </c>
      <c r="C12" s="95">
        <v>8</v>
      </c>
      <c r="D12" s="95">
        <v>314</v>
      </c>
      <c r="E12" s="95">
        <v>322</v>
      </c>
      <c r="F12" s="82">
        <f t="shared" si="0"/>
        <v>4.7832674767521316E-3</v>
      </c>
    </row>
    <row r="13" spans="1:6" ht="14.25" customHeight="1">
      <c r="A13" s="62">
        <v>8</v>
      </c>
      <c r="B13" s="75" t="s">
        <v>33</v>
      </c>
      <c r="C13" s="95">
        <v>2</v>
      </c>
      <c r="D13" s="95">
        <v>67</v>
      </c>
      <c r="E13" s="95">
        <v>69</v>
      </c>
      <c r="F13" s="82">
        <f t="shared" si="0"/>
        <v>1.0249858878754567E-3</v>
      </c>
    </row>
    <row r="14" spans="1:6" ht="14.25" customHeight="1">
      <c r="A14" s="62">
        <v>9</v>
      </c>
      <c r="B14" s="75" t="s">
        <v>34</v>
      </c>
      <c r="C14" s="95">
        <v>2</v>
      </c>
      <c r="D14" s="95">
        <v>5</v>
      </c>
      <c r="E14" s="95">
        <v>7</v>
      </c>
      <c r="F14" s="82">
        <f t="shared" si="0"/>
        <v>1.0398407558156808E-4</v>
      </c>
    </row>
    <row r="15" spans="1:6" ht="14.25" customHeight="1">
      <c r="A15" s="62">
        <v>10</v>
      </c>
      <c r="B15" s="75" t="s">
        <v>35</v>
      </c>
      <c r="C15" s="95">
        <v>437</v>
      </c>
      <c r="D15" s="95">
        <v>416</v>
      </c>
      <c r="E15" s="95">
        <v>853</v>
      </c>
      <c r="F15" s="82">
        <f t="shared" si="0"/>
        <v>1.2671202353011082E-2</v>
      </c>
    </row>
    <row r="16" spans="1:6" ht="14.25" customHeight="1">
      <c r="A16" s="62">
        <v>11</v>
      </c>
      <c r="B16" s="75" t="s">
        <v>36</v>
      </c>
      <c r="C16" s="95">
        <v>95</v>
      </c>
      <c r="D16" s="95">
        <v>1323</v>
      </c>
      <c r="E16" s="95">
        <v>1418</v>
      </c>
      <c r="F16" s="82">
        <f t="shared" si="0"/>
        <v>2.1064202739237647E-2</v>
      </c>
    </row>
    <row r="17" spans="1:6" ht="14.25" customHeight="1">
      <c r="A17" s="62">
        <v>12</v>
      </c>
      <c r="B17" s="75" t="s">
        <v>37</v>
      </c>
      <c r="C17" s="95"/>
      <c r="D17" s="95">
        <v>8</v>
      </c>
      <c r="E17" s="95">
        <v>8</v>
      </c>
      <c r="F17" s="82">
        <f t="shared" si="0"/>
        <v>1.1883894352179208E-4</v>
      </c>
    </row>
    <row r="18" spans="1:6" ht="14.25" customHeight="1">
      <c r="A18" s="62">
        <v>13</v>
      </c>
      <c r="B18" s="75" t="s">
        <v>38</v>
      </c>
      <c r="C18" s="95">
        <v>2670</v>
      </c>
      <c r="D18" s="95">
        <v>206</v>
      </c>
      <c r="E18" s="95">
        <v>2876</v>
      </c>
      <c r="F18" s="82">
        <f t="shared" si="0"/>
        <v>4.2722600196084259E-2</v>
      </c>
    </row>
    <row r="19" spans="1:6" ht="14.25" customHeight="1">
      <c r="A19" s="62">
        <v>14</v>
      </c>
      <c r="B19" s="75" t="s">
        <v>39</v>
      </c>
      <c r="C19" s="95">
        <v>3</v>
      </c>
      <c r="D19" s="95">
        <v>266</v>
      </c>
      <c r="E19" s="95">
        <v>269</v>
      </c>
      <c r="F19" s="82">
        <f t="shared" si="0"/>
        <v>3.9959594759202592E-3</v>
      </c>
    </row>
    <row r="20" spans="1:6" ht="14.25" customHeight="1">
      <c r="A20" s="62">
        <v>15</v>
      </c>
      <c r="B20" s="75" t="s">
        <v>40</v>
      </c>
      <c r="C20" s="95">
        <v>868</v>
      </c>
      <c r="D20" s="95">
        <v>41</v>
      </c>
      <c r="E20" s="95">
        <v>909</v>
      </c>
      <c r="F20" s="82">
        <f t="shared" si="0"/>
        <v>1.3503074957663626E-2</v>
      </c>
    </row>
    <row r="21" spans="1:6" ht="14.25" customHeight="1">
      <c r="A21" s="62">
        <v>16</v>
      </c>
      <c r="B21" s="75" t="s">
        <v>41</v>
      </c>
      <c r="C21" s="95">
        <v>59</v>
      </c>
      <c r="D21" s="95">
        <v>5</v>
      </c>
      <c r="E21" s="95">
        <v>64</v>
      </c>
      <c r="F21" s="82">
        <f t="shared" si="0"/>
        <v>9.5071154817433668E-4</v>
      </c>
    </row>
    <row r="22" spans="1:6" ht="14.25" customHeight="1">
      <c r="A22" s="62">
        <v>17</v>
      </c>
      <c r="B22" s="75" t="s">
        <v>42</v>
      </c>
      <c r="C22" s="95">
        <v>107</v>
      </c>
      <c r="D22" s="95">
        <v>2447</v>
      </c>
      <c r="E22" s="95">
        <v>2554</v>
      </c>
      <c r="F22" s="82">
        <f t="shared" si="0"/>
        <v>3.7939332719332128E-2</v>
      </c>
    </row>
    <row r="23" spans="1:6" ht="14.25" customHeight="1">
      <c r="A23" s="62">
        <v>18</v>
      </c>
      <c r="B23" s="75" t="s">
        <v>43</v>
      </c>
      <c r="C23" s="95">
        <v>173</v>
      </c>
      <c r="D23" s="95">
        <v>451</v>
      </c>
      <c r="E23" s="95">
        <v>624</v>
      </c>
      <c r="F23" s="82">
        <f t="shared" si="0"/>
        <v>9.2694375946997826E-3</v>
      </c>
    </row>
    <row r="24" spans="1:6" ht="14.25" customHeight="1">
      <c r="A24" s="62">
        <v>19</v>
      </c>
      <c r="B24" s="75" t="s">
        <v>44</v>
      </c>
      <c r="C24" s="95">
        <v>294</v>
      </c>
      <c r="D24" s="95">
        <v>1713</v>
      </c>
      <c r="E24" s="95">
        <v>2007</v>
      </c>
      <c r="F24" s="82">
        <f t="shared" si="0"/>
        <v>2.9813719956029591E-2</v>
      </c>
    </row>
    <row r="25" spans="1:6" ht="14.25" customHeight="1">
      <c r="A25" s="62">
        <v>20</v>
      </c>
      <c r="B25" s="75" t="s">
        <v>45</v>
      </c>
      <c r="C25" s="95">
        <v>1014</v>
      </c>
      <c r="D25" s="95">
        <v>1477</v>
      </c>
      <c r="E25" s="95">
        <v>2491</v>
      </c>
      <c r="F25" s="82">
        <f t="shared" si="0"/>
        <v>3.700347603909801E-2</v>
      </c>
    </row>
    <row r="26" spans="1:6" ht="14.25" customHeight="1">
      <c r="A26" s="62">
        <v>21</v>
      </c>
      <c r="B26" s="75" t="s">
        <v>46</v>
      </c>
      <c r="C26" s="95"/>
      <c r="D26" s="95">
        <v>9</v>
      </c>
      <c r="E26" s="95">
        <v>9</v>
      </c>
      <c r="F26" s="82">
        <f t="shared" si="0"/>
        <v>1.3369381146201609E-4</v>
      </c>
    </row>
    <row r="27" spans="1:6" ht="14.25" customHeight="1">
      <c r="A27" s="62">
        <v>22</v>
      </c>
      <c r="B27" s="75" t="s">
        <v>47</v>
      </c>
      <c r="C27" s="95">
        <v>4982</v>
      </c>
      <c r="D27" s="95">
        <v>447</v>
      </c>
      <c r="E27" s="95">
        <v>5429</v>
      </c>
      <c r="F27" s="82">
        <f t="shared" si="0"/>
        <v>8.0647078047476159E-2</v>
      </c>
    </row>
    <row r="28" spans="1:6" ht="14.25" customHeight="1">
      <c r="A28" s="62">
        <v>23</v>
      </c>
      <c r="B28" s="75" t="s">
        <v>48</v>
      </c>
      <c r="C28" s="95">
        <v>3217</v>
      </c>
      <c r="D28" s="95">
        <v>711</v>
      </c>
      <c r="E28" s="95">
        <v>3928</v>
      </c>
      <c r="F28" s="82">
        <f t="shared" si="0"/>
        <v>5.8349921269199918E-2</v>
      </c>
    </row>
    <row r="29" spans="1:6" ht="14.25" customHeight="1">
      <c r="A29" s="62">
        <v>24</v>
      </c>
      <c r="B29" s="94" t="s">
        <v>49</v>
      </c>
      <c r="C29" s="96">
        <v>49409</v>
      </c>
      <c r="D29" s="96">
        <v>17909</v>
      </c>
      <c r="E29" s="96">
        <v>67318</v>
      </c>
      <c r="F29" s="82">
        <f>IF(E29=0,"",E29/$E$29)</f>
        <v>1</v>
      </c>
    </row>
    <row r="30" spans="1:6" ht="14.25" customHeight="1">
      <c r="A30" s="62" t="s">
        <v>50</v>
      </c>
      <c r="B30" s="71"/>
      <c r="C30" s="75"/>
      <c r="D30" s="75"/>
      <c r="E30" s="75"/>
      <c r="F30" s="82" t="s">
        <v>50</v>
      </c>
    </row>
    <row r="31" spans="1:6" ht="14.25" customHeight="1">
      <c r="A31" s="62"/>
      <c r="B31" s="71"/>
      <c r="C31" s="75"/>
      <c r="D31" s="75"/>
      <c r="E31" s="75"/>
      <c r="F31" s="82"/>
    </row>
    <row r="32" spans="1:6">
      <c r="A32" s="63"/>
    </row>
    <row r="36" spans="1:2">
      <c r="B36" s="61"/>
    </row>
    <row r="37" spans="1:2">
      <c r="A37" t="s">
        <v>51</v>
      </c>
    </row>
    <row r="38" spans="1:2">
      <c r="A38" t="s">
        <v>52</v>
      </c>
    </row>
    <row r="39" spans="1:2">
      <c r="A39" t="s">
        <v>18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view="pageLayout" zoomScaleNormal="100" workbookViewId="0">
      <selection activeCell="C11" sqref="C11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75">
      <c r="A1" s="100" t="s">
        <v>53</v>
      </c>
      <c r="B1" s="100"/>
      <c r="C1" s="100"/>
      <c r="D1" s="100"/>
      <c r="E1" s="100"/>
      <c r="F1" s="100"/>
      <c r="G1" s="100"/>
      <c r="H1" s="12"/>
      <c r="I1" s="12"/>
    </row>
    <row r="2" spans="1:9" s="5" customFormat="1" ht="15.75">
      <c r="A2" s="100" t="s">
        <v>54</v>
      </c>
      <c r="B2" s="100"/>
      <c r="C2" s="100"/>
      <c r="D2" s="100"/>
      <c r="E2" s="100"/>
      <c r="F2" s="100"/>
      <c r="G2" s="100"/>
      <c r="H2" s="12"/>
      <c r="I2" s="12"/>
    </row>
    <row r="3" spans="1:9" s="5" customFormat="1">
      <c r="A3" s="101" t="str">
        <f>'Summary Load Customers '!A2</f>
        <v>Data as of March 31, 2026</v>
      </c>
      <c r="B3" s="101"/>
      <c r="C3" s="101"/>
      <c r="D3" s="101"/>
      <c r="E3" s="101"/>
      <c r="F3" s="101"/>
      <c r="G3" s="101"/>
      <c r="H3" s="12"/>
      <c r="I3" s="12"/>
    </row>
    <row r="4" spans="1:9" s="5" customFormat="1">
      <c r="A4" s="1"/>
      <c r="B4" s="12"/>
      <c r="C4" s="12"/>
      <c r="D4" s="4"/>
      <c r="E4" s="4"/>
      <c r="F4" s="4"/>
      <c r="G4" s="12"/>
      <c r="H4" s="12"/>
      <c r="I4" s="12"/>
    </row>
    <row r="5" spans="1:9" s="5" customFormat="1" ht="15.75">
      <c r="A5" s="98" t="s">
        <v>55</v>
      </c>
      <c r="B5" s="98"/>
      <c r="C5" s="98"/>
      <c r="D5" s="98"/>
      <c r="E5" s="98"/>
      <c r="F5" s="98"/>
      <c r="G5" s="98"/>
      <c r="H5" s="1"/>
      <c r="I5" s="12"/>
    </row>
    <row r="6" spans="1:9" s="5" customFormat="1" ht="15">
      <c r="A6" s="70"/>
      <c r="B6" s="70"/>
      <c r="C6" s="70"/>
      <c r="D6" s="39"/>
      <c r="E6" s="39"/>
      <c r="F6" s="40"/>
      <c r="G6" s="40"/>
      <c r="H6" s="41"/>
      <c r="I6" s="12"/>
    </row>
    <row r="7" spans="1:9" ht="24" customHeight="1">
      <c r="A7" s="99" t="s">
        <v>56</v>
      </c>
      <c r="B7" s="99"/>
      <c r="C7" s="99"/>
      <c r="D7" s="99"/>
      <c r="E7" s="99"/>
      <c r="F7" s="99"/>
      <c r="G7" s="99"/>
    </row>
    <row r="8" spans="1:9" ht="15">
      <c r="A8" s="24"/>
      <c r="B8" s="14"/>
      <c r="C8" s="14"/>
      <c r="D8" s="14"/>
      <c r="E8" s="14"/>
      <c r="F8" s="14"/>
      <c r="G8" s="33"/>
      <c r="H8" s="12"/>
      <c r="I8" s="41"/>
    </row>
    <row r="9" spans="1:9" ht="15">
      <c r="A9" s="21"/>
      <c r="B9" s="16" t="s">
        <v>23</v>
      </c>
      <c r="C9" s="34"/>
      <c r="D9" s="16" t="s">
        <v>57</v>
      </c>
      <c r="E9" s="35"/>
      <c r="F9" s="16" t="s">
        <v>6</v>
      </c>
      <c r="G9" s="18"/>
    </row>
    <row r="10" spans="1:9" ht="15">
      <c r="A10" s="24" t="s">
        <v>58</v>
      </c>
      <c r="B10" s="22" t="s">
        <v>14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5">
      <c r="A12" s="43" t="str">
        <f>"As the above table shows, "&amp;TEXT(F11,"0,000")&amp;" of UI's customers, or "&amp;TEXT(G11,"0.0%")&amp;" are participating in the CTCleanEnergyOptions Program."</f>
        <v>As the above table shows, 0,000 of UI's customers, or 0.0% are participating in the CTCleanEnergyOptions Program.</v>
      </c>
      <c r="G12" s="32"/>
    </row>
    <row r="13" spans="1:9" ht="15">
      <c r="G13" s="32"/>
    </row>
    <row r="14" spans="1:9" ht="15">
      <c r="A14" s="69" t="s">
        <v>59</v>
      </c>
      <c r="G14" s="32"/>
    </row>
    <row r="15" spans="1:9" ht="15">
      <c r="A15" s="24"/>
      <c r="B15" s="14"/>
      <c r="C15" s="14"/>
      <c r="D15" s="14"/>
      <c r="E15" s="14"/>
      <c r="F15" s="14"/>
      <c r="G15" s="33"/>
      <c r="H15" s="12"/>
    </row>
    <row r="16" spans="1:9" ht="15">
      <c r="A16" s="21"/>
      <c r="B16" s="16" t="s">
        <v>23</v>
      </c>
      <c r="C16" s="34"/>
      <c r="D16" s="16" t="s">
        <v>57</v>
      </c>
      <c r="E16" s="35"/>
      <c r="F16" s="16" t="s">
        <v>6</v>
      </c>
      <c r="G16" s="18"/>
    </row>
    <row r="17" spans="1:9" ht="15">
      <c r="A17" s="24" t="s">
        <v>60</v>
      </c>
      <c r="B17" s="22" t="s">
        <v>14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25">
      <c r="B18" s="26">
        <f>REC_programs_detail!B26</f>
        <v>402</v>
      </c>
      <c r="C18" s="27">
        <f>IF(B18=0,0,B18/'Summary Load Customers '!$B$18)</f>
        <v>1.2788903558305629E-3</v>
      </c>
      <c r="D18" s="26">
        <f>REC_programs_detail!C26</f>
        <v>49</v>
      </c>
      <c r="E18" s="27">
        <f>IF(D18=0,0,D18/('Summary Load Customers '!$D$18+'Summary Load Customers '!$F$18))</f>
        <v>1.2777053455019557E-3</v>
      </c>
      <c r="F18" s="26">
        <f>B18+D18</f>
        <v>451</v>
      </c>
      <c r="G18" s="27">
        <f>IF(F18=0,0,F18/'Summary Load Customers '!$H$18)</f>
        <v>1.2787615010561833E-3</v>
      </c>
    </row>
    <row r="19" spans="1:9" ht="14.25">
      <c r="A19" s="43" t="str">
        <f>"As the above table shows, "&amp;TEXT(F18,"0,000")&amp;" of UI's customers, or "&amp;TEXT(G18,"0.0%")&amp;" are participating in the REC only program."</f>
        <v>As the above table shows, 0,451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25">
      <c r="A20" s="24"/>
      <c r="B20" s="31"/>
      <c r="C20" s="30"/>
      <c r="D20" s="31"/>
      <c r="E20" s="30"/>
      <c r="F20" s="31"/>
      <c r="G20" s="30"/>
      <c r="H20" s="31"/>
    </row>
    <row r="21" spans="1:9" ht="15">
      <c r="A21" s="97" t="s">
        <v>61</v>
      </c>
      <c r="B21" s="97"/>
      <c r="C21" s="97"/>
      <c r="D21" s="97"/>
      <c r="E21" s="97"/>
      <c r="F21" s="97"/>
      <c r="G21" s="97"/>
      <c r="I21" s="30"/>
    </row>
    <row r="22" spans="1:9" ht="15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5">
      <c r="A23" s="21"/>
      <c r="B23" s="16" t="s">
        <v>23</v>
      </c>
      <c r="C23" s="34"/>
      <c r="D23" s="16" t="s">
        <v>57</v>
      </c>
      <c r="E23" s="35"/>
      <c r="F23" s="16" t="s">
        <v>6</v>
      </c>
      <c r="G23" s="18"/>
    </row>
    <row r="24" spans="1:9" ht="15">
      <c r="A24" s="24" t="s">
        <v>62</v>
      </c>
      <c r="B24" s="22" t="s">
        <v>14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25">
      <c r="B25" s="26">
        <f>B11+B18</f>
        <v>402</v>
      </c>
      <c r="C25" s="27">
        <f>IF(B25=0,0,B25/'Summary Load Customers '!$B$18)</f>
        <v>1.2788903558305629E-3</v>
      </c>
      <c r="D25" s="26">
        <f>D11+D18</f>
        <v>49</v>
      </c>
      <c r="E25" s="27">
        <f>IF(D25=0,0,D25/('Summary Load Customers '!$D$18+'Summary Load Customers '!$F$18))</f>
        <v>1.2777053455019557E-3</v>
      </c>
      <c r="F25" s="26">
        <f>B25+D25</f>
        <v>451</v>
      </c>
      <c r="G25" s="27">
        <f>IF(F25=0,0,F25/'Summary Load Customers '!$H$18)</f>
        <v>1.2787615010561833E-3</v>
      </c>
    </row>
    <row r="26" spans="1:9" ht="15">
      <c r="A26" s="43" t="str">
        <f>"As the above table shows, "&amp;TEXT(F25,"0,000")&amp;" of UI's customers, or "&amp;TEXT(G25,"0.0%")&amp;" are participating in the combined REC programs."</f>
        <v>As the above table shows, 0,451 of UI's customers, or 0.1% are participating in the combined REC programs.</v>
      </c>
      <c r="G26" s="32"/>
    </row>
    <row r="27" spans="1:9" ht="15">
      <c r="G27" s="32"/>
    </row>
    <row r="28" spans="1:9" ht="13.5">
      <c r="A28" s="42" t="s">
        <v>16</v>
      </c>
    </row>
    <row r="29" spans="1:9" ht="13.5">
      <c r="A29" s="42"/>
    </row>
    <row r="30" spans="1:9" ht="13.5">
      <c r="A30" s="42" t="s">
        <v>63</v>
      </c>
    </row>
    <row r="31" spans="1:9">
      <c r="A31" s="43" t="s">
        <v>64</v>
      </c>
    </row>
    <row r="33" spans="1:1">
      <c r="A33" s="43" t="s">
        <v>18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zoomScaleNormal="110" workbookViewId="0">
      <selection activeCell="B26" sqref="B26"/>
    </sheetView>
  </sheetViews>
  <sheetFormatPr defaultColWidth="9.140625" defaultRowHeight="11.25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102" t="s">
        <v>65</v>
      </c>
      <c r="B1" s="102"/>
      <c r="C1" s="102"/>
      <c r="D1" s="102"/>
      <c r="E1" s="46"/>
      <c r="F1" s="46"/>
      <c r="G1" s="83"/>
      <c r="H1" s="83"/>
      <c r="I1" s="83"/>
    </row>
    <row r="2" spans="1:9" s="5" customFormat="1" ht="18" customHeight="1">
      <c r="A2" s="102" t="str">
        <f>'Summary Load Customers '!A2</f>
        <v>Data as of March 31, 2026</v>
      </c>
      <c r="B2" s="102"/>
      <c r="C2" s="102"/>
      <c r="D2" s="102"/>
      <c r="E2" s="11"/>
      <c r="F2" s="11"/>
      <c r="G2" s="12"/>
      <c r="H2" s="12"/>
      <c r="I2" s="12"/>
    </row>
    <row r="3" spans="1:9" s="47" customFormat="1" ht="15" customHeight="1">
      <c r="A3" s="84"/>
      <c r="B3" s="84"/>
      <c r="C3" s="84"/>
      <c r="D3" s="84"/>
      <c r="E3" s="46"/>
      <c r="F3" s="46"/>
      <c r="G3" s="83"/>
      <c r="H3" s="83"/>
      <c r="I3" s="83"/>
    </row>
    <row r="4" spans="1:9" s="47" customFormat="1" ht="22.5">
      <c r="A4" s="49" t="s">
        <v>66</v>
      </c>
      <c r="B4" s="50" t="s">
        <v>23</v>
      </c>
      <c r="C4" s="49" t="s">
        <v>24</v>
      </c>
      <c r="D4" s="49" t="s">
        <v>6</v>
      </c>
      <c r="E4" s="46"/>
      <c r="F4" s="46"/>
      <c r="G4" s="83"/>
      <c r="H4" s="83"/>
      <c r="I4" s="83"/>
    </row>
    <row r="5" spans="1:9" s="47" customFormat="1" ht="15" customHeight="1">
      <c r="A5" s="85" t="s">
        <v>67</v>
      </c>
      <c r="B5" s="86"/>
      <c r="C5" s="72"/>
      <c r="D5" s="73">
        <f>IF(C5=0,0,C5)</f>
        <v>0</v>
      </c>
      <c r="E5" s="46"/>
      <c r="F5" s="46"/>
      <c r="G5" s="83"/>
      <c r="H5" s="83"/>
      <c r="I5" s="83"/>
    </row>
    <row r="6" spans="1:9">
      <c r="A6" s="85" t="s">
        <v>68</v>
      </c>
      <c r="B6" s="72">
        <v>0</v>
      </c>
      <c r="C6" s="72">
        <v>0</v>
      </c>
      <c r="D6" s="73">
        <f>SUM(B6:C6)</f>
        <v>0</v>
      </c>
      <c r="E6" s="84"/>
      <c r="F6" s="84"/>
      <c r="G6" s="84"/>
      <c r="H6" s="84"/>
      <c r="I6" s="84"/>
    </row>
    <row r="7" spans="1:9" s="52" customFormat="1">
      <c r="A7" s="85" t="s">
        <v>69</v>
      </c>
      <c r="B7" s="72">
        <v>0</v>
      </c>
      <c r="C7" s="72">
        <v>0</v>
      </c>
      <c r="D7" s="73">
        <f>SUM(B7:C7)</f>
        <v>0</v>
      </c>
      <c r="E7" s="87"/>
      <c r="F7" s="87"/>
      <c r="G7" s="51"/>
      <c r="H7" s="88"/>
      <c r="I7" s="88"/>
    </row>
    <row r="8" spans="1:9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4"/>
      <c r="F8" s="84"/>
      <c r="G8" s="53"/>
      <c r="H8" s="84"/>
      <c r="I8" s="84"/>
    </row>
    <row r="9" spans="1:9">
      <c r="A9" s="84"/>
      <c r="B9" s="89"/>
      <c r="C9" s="89"/>
      <c r="D9" s="89"/>
      <c r="E9" s="54"/>
      <c r="F9" s="54"/>
      <c r="G9" s="53"/>
      <c r="H9" s="84"/>
      <c r="I9" s="84"/>
    </row>
    <row r="10" spans="1:9" ht="22.5">
      <c r="A10" s="65" t="s">
        <v>70</v>
      </c>
      <c r="B10" s="49" t="s">
        <v>23</v>
      </c>
      <c r="C10" s="49" t="str">
        <f>C4</f>
        <v>Business</v>
      </c>
      <c r="D10" s="49" t="s">
        <v>6</v>
      </c>
      <c r="E10" s="90"/>
      <c r="F10" s="91"/>
      <c r="G10" s="53"/>
      <c r="H10" s="84"/>
      <c r="I10" s="84"/>
    </row>
    <row r="11" spans="1:9">
      <c r="A11" s="85" t="s">
        <v>67</v>
      </c>
      <c r="B11" s="86"/>
      <c r="C11" s="72"/>
      <c r="D11" s="73">
        <f>IF(C11=0,0,C11)</f>
        <v>0</v>
      </c>
      <c r="E11" s="90"/>
      <c r="F11" s="91"/>
      <c r="G11" s="53"/>
      <c r="H11" s="84"/>
      <c r="I11" s="84"/>
    </row>
    <row r="12" spans="1:9">
      <c r="A12" s="85" t="s">
        <v>68</v>
      </c>
      <c r="B12" s="72">
        <v>0</v>
      </c>
      <c r="C12" s="72">
        <v>0</v>
      </c>
      <c r="D12" s="73">
        <f>SUM(B12:C12)</f>
        <v>0</v>
      </c>
      <c r="E12" s="90"/>
      <c r="F12" s="91"/>
      <c r="G12" s="57"/>
      <c r="H12" s="84"/>
      <c r="I12" s="84"/>
    </row>
    <row r="13" spans="1:9">
      <c r="A13" s="85" t="s">
        <v>69</v>
      </c>
      <c r="B13" s="72">
        <v>0</v>
      </c>
      <c r="C13" s="72">
        <v>0</v>
      </c>
      <c r="D13" s="73">
        <f>SUM(B13:C13)</f>
        <v>0</v>
      </c>
      <c r="E13" s="58"/>
      <c r="F13" s="59"/>
      <c r="G13" s="57"/>
      <c r="H13" s="84"/>
      <c r="I13" s="84"/>
    </row>
    <row r="14" spans="1:9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4"/>
      <c r="F14" s="84"/>
      <c r="G14" s="57"/>
      <c r="H14" s="84"/>
      <c r="I14" s="84"/>
    </row>
    <row r="15" spans="1:9">
      <c r="A15" s="84"/>
      <c r="B15" s="84"/>
      <c r="C15" s="84"/>
      <c r="D15" s="92"/>
      <c r="E15" s="54"/>
      <c r="F15" s="54"/>
      <c r="G15" s="53"/>
      <c r="H15" s="84"/>
      <c r="I15" s="84"/>
    </row>
    <row r="16" spans="1:9" ht="22.5">
      <c r="A16" s="49" t="s">
        <v>71</v>
      </c>
      <c r="B16" s="49" t="s">
        <v>23</v>
      </c>
      <c r="C16" s="49" t="str">
        <f>C4</f>
        <v>Business</v>
      </c>
      <c r="D16" s="49" t="s">
        <v>6</v>
      </c>
      <c r="E16" s="90"/>
      <c r="F16" s="91"/>
      <c r="G16" s="53"/>
      <c r="H16" s="84"/>
      <c r="I16" s="84"/>
    </row>
    <row r="17" spans="1:8">
      <c r="A17" s="85" t="s">
        <v>67</v>
      </c>
      <c r="B17" s="86"/>
      <c r="C17" s="93">
        <f t="shared" ref="C17:D18" si="0">IF(C5+C11=0,0,C5+C11)</f>
        <v>0</v>
      </c>
      <c r="D17" s="73"/>
      <c r="E17" s="90"/>
      <c r="F17" s="91"/>
      <c r="G17" s="53"/>
      <c r="H17" s="84"/>
    </row>
    <row r="18" spans="1:8">
      <c r="A18" s="85" t="s">
        <v>68</v>
      </c>
      <c r="B18" s="93">
        <f>IF(B6+B12=0,0,B6+B12)</f>
        <v>0</v>
      </c>
      <c r="C18" s="93">
        <f>IF(C6+C12=0,0,C6+C12)</f>
        <v>0</v>
      </c>
      <c r="D18" s="73">
        <f t="shared" si="0"/>
        <v>0</v>
      </c>
      <c r="E18" s="90"/>
      <c r="F18" s="91"/>
      <c r="G18" s="57"/>
      <c r="H18" s="84"/>
    </row>
    <row r="19" spans="1:8">
      <c r="A19" s="85" t="s">
        <v>69</v>
      </c>
      <c r="B19" s="93">
        <f>IF(B7+B13=0,0,B7+B13)</f>
        <v>0</v>
      </c>
      <c r="C19" s="93">
        <f>IF(C7+C13=0,0,C7+C13)</f>
        <v>0</v>
      </c>
      <c r="D19" s="73">
        <f>IF(D7+D13=0,0,D7+D13)</f>
        <v>0</v>
      </c>
      <c r="E19" s="58"/>
      <c r="F19" s="59"/>
      <c r="G19" s="57"/>
      <c r="H19" s="84"/>
    </row>
    <row r="20" spans="1:8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4"/>
    </row>
    <row r="21" spans="1:8">
      <c r="A21" s="84"/>
      <c r="B21" s="84"/>
      <c r="C21" s="84"/>
      <c r="D21" s="84"/>
      <c r="E21" s="53"/>
      <c r="F21" s="57"/>
      <c r="G21" s="57"/>
      <c r="H21" s="84"/>
    </row>
    <row r="22" spans="1:8" ht="22.5">
      <c r="A22" s="65" t="s">
        <v>72</v>
      </c>
      <c r="B22" s="49" t="s">
        <v>23</v>
      </c>
      <c r="C22" s="49" t="s">
        <v>24</v>
      </c>
      <c r="D22" s="49" t="s">
        <v>6</v>
      </c>
      <c r="E22" s="84"/>
      <c r="F22" s="57"/>
      <c r="G22" s="57"/>
      <c r="H22" s="84"/>
    </row>
    <row r="23" spans="1:8">
      <c r="A23" s="85" t="s">
        <v>67</v>
      </c>
      <c r="B23" s="86"/>
      <c r="C23" s="93">
        <f>IF(C11+C17=0,0,C11+C17)</f>
        <v>0</v>
      </c>
      <c r="D23" s="73">
        <f>IF(C23=0,0,C23)</f>
        <v>0</v>
      </c>
      <c r="E23" s="84"/>
      <c r="F23" s="57"/>
      <c r="G23" s="57"/>
      <c r="H23" s="84"/>
    </row>
    <row r="24" spans="1:8">
      <c r="A24" s="85" t="s">
        <v>68</v>
      </c>
      <c r="B24" s="72">
        <v>128</v>
      </c>
      <c r="C24" s="72">
        <v>11</v>
      </c>
      <c r="D24" s="73">
        <f>SUM(B24:C24)</f>
        <v>139</v>
      </c>
      <c r="E24" s="84"/>
      <c r="F24" s="57"/>
      <c r="G24" s="57"/>
      <c r="H24" s="84"/>
    </row>
    <row r="25" spans="1:8">
      <c r="A25" s="85" t="s">
        <v>69</v>
      </c>
      <c r="B25" s="72">
        <v>274</v>
      </c>
      <c r="C25" s="72">
        <v>38</v>
      </c>
      <c r="D25" s="73">
        <f>SUM(B25:C25)</f>
        <v>312</v>
      </c>
      <c r="E25" s="84"/>
      <c r="F25" s="84"/>
      <c r="G25" s="84"/>
      <c r="H25" s="84"/>
    </row>
    <row r="26" spans="1:8">
      <c r="A26" s="55" t="str">
        <f>A20</f>
        <v>Total</v>
      </c>
      <c r="B26" s="74">
        <f>IF(B24+B25=0,0,B24+B25)</f>
        <v>402</v>
      </c>
      <c r="C26" s="56">
        <f>IF(SUM(C23:C25)=0,0,SUM(C23:C25))</f>
        <v>49</v>
      </c>
      <c r="D26" s="56">
        <f>IF(SUM(D23:D25)=0,0,SUM(D23:D25))</f>
        <v>451</v>
      </c>
      <c r="E26" s="84"/>
      <c r="F26" s="84"/>
      <c r="G26" s="84"/>
      <c r="H26" s="84"/>
    </row>
    <row r="28" spans="1:8">
      <c r="A28" s="49" t="s">
        <v>73</v>
      </c>
      <c r="B28" s="49" t="s">
        <v>23</v>
      </c>
      <c r="C28" s="49" t="str">
        <f>C16</f>
        <v>Business</v>
      </c>
      <c r="D28" s="49" t="s">
        <v>6</v>
      </c>
      <c r="E28" s="84"/>
      <c r="F28" s="84"/>
      <c r="G28" s="84"/>
      <c r="H28" s="84"/>
    </row>
    <row r="29" spans="1:8">
      <c r="A29" s="85" t="s">
        <v>67</v>
      </c>
      <c r="B29" s="86">
        <f>B17+B23</f>
        <v>0</v>
      </c>
      <c r="C29" s="93">
        <f t="shared" ref="C29:D31" si="1">C17+C23</f>
        <v>0</v>
      </c>
      <c r="D29" s="73">
        <f t="shared" si="1"/>
        <v>0</v>
      </c>
      <c r="E29" s="84"/>
      <c r="F29" s="84"/>
      <c r="G29" s="84"/>
      <c r="H29" s="84"/>
    </row>
    <row r="30" spans="1:8">
      <c r="A30" s="85" t="s">
        <v>68</v>
      </c>
      <c r="B30" s="93">
        <f>B18+B24</f>
        <v>128</v>
      </c>
      <c r="C30" s="93">
        <f t="shared" si="1"/>
        <v>11</v>
      </c>
      <c r="D30" s="73">
        <f t="shared" si="1"/>
        <v>139</v>
      </c>
      <c r="E30" s="84"/>
      <c r="F30" s="84"/>
      <c r="G30" s="84"/>
      <c r="H30" s="84"/>
    </row>
    <row r="31" spans="1:8">
      <c r="A31" s="85" t="s">
        <v>69</v>
      </c>
      <c r="B31" s="93">
        <f>B19+B25</f>
        <v>274</v>
      </c>
      <c r="C31" s="93">
        <f t="shared" si="1"/>
        <v>38</v>
      </c>
      <c r="D31" s="73">
        <f t="shared" si="1"/>
        <v>312</v>
      </c>
      <c r="E31" s="84"/>
      <c r="F31" s="84"/>
      <c r="G31" s="84"/>
      <c r="H31" s="84"/>
    </row>
    <row r="32" spans="1:8">
      <c r="A32" s="55" t="str">
        <f>A26</f>
        <v>Total</v>
      </c>
      <c r="B32" s="56">
        <f>IF(B30+B31=0,0,B30+B31)</f>
        <v>402</v>
      </c>
      <c r="C32" s="56">
        <f>IF(SUM(C29:C31)=0,0,SUM(C29:C31))</f>
        <v>49</v>
      </c>
      <c r="D32" s="56">
        <f>SUM(D29:D31)</f>
        <v>451</v>
      </c>
      <c r="E32" s="84"/>
      <c r="F32" s="84"/>
      <c r="G32" s="84"/>
      <c r="H32" s="84"/>
    </row>
    <row r="33" spans="1:7">
      <c r="A33" s="84"/>
      <c r="B33" s="84"/>
      <c r="C33" s="84"/>
      <c r="D33" s="84"/>
      <c r="E33" s="84"/>
      <c r="F33" s="84"/>
      <c r="G33" s="84"/>
    </row>
    <row r="34" spans="1:7">
      <c r="A34" s="92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4"/>
      <c r="C34" s="84"/>
      <c r="D34" s="84"/>
      <c r="E34" s="84"/>
      <c r="F34" s="84"/>
      <c r="G34" s="84"/>
    </row>
    <row r="35" spans="1:7">
      <c r="A35" s="92" t="str">
        <f>"In summary, "&amp;TEXT($D$26,"000")&amp; " of UI's customers are participating in RECs only with Sterling Planet"</f>
        <v>In summary, 451 of UI's customers are participating in RECs only with Sterling Planet</v>
      </c>
      <c r="B35" s="84"/>
      <c r="C35" s="84"/>
      <c r="D35" s="84"/>
      <c r="E35" s="84"/>
      <c r="F35" s="84"/>
      <c r="G35" s="84"/>
    </row>
    <row r="36" spans="1:7">
      <c r="A36" s="92" t="str">
        <f>"In summary, "&amp;TEXT($D$32,"0,000")&amp; " of UI's customers are participating in all REC programs"</f>
        <v>In summary, 0,451 of UI's customers are participating in all REC programs</v>
      </c>
      <c r="B36" s="84"/>
      <c r="C36" s="84"/>
      <c r="D36" s="84"/>
      <c r="E36" s="84"/>
      <c r="F36" s="84"/>
      <c r="G36" s="84"/>
    </row>
    <row r="38" spans="1:7">
      <c r="A38" s="92" t="s">
        <v>74</v>
      </c>
      <c r="B38" s="84"/>
      <c r="C38" s="84"/>
      <c r="D38" s="84"/>
      <c r="E38" s="84"/>
      <c r="F38" s="84"/>
      <c r="G38" s="84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E1DDE4-AEA8-48A5-875B-FF6C4D3F3DE1}"/>
</file>

<file path=customXml/itemProps2.xml><?xml version="1.0" encoding="utf-8"?>
<ds:datastoreItem xmlns:ds="http://schemas.openxmlformats.org/officeDocument/2006/customXml" ds:itemID="{C0FD2D0F-D661-492B-92FB-4A59CF007833}"/>
</file>

<file path=customXml/itemProps3.xml><?xml version="1.0" encoding="utf-8"?>
<ds:datastoreItem xmlns:ds="http://schemas.openxmlformats.org/officeDocument/2006/customXml" ds:itemID="{1AA14A1D-0B52-4FF0-9C2A-6BAEBA2C7FC2}"/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2026-05-01T15:33:09Z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  <property fmtid="{D5CDD505-2E9C-101B-9397-08002B2CF9AE}" pid="11" name="MediaServiceImageTags">
    <vt:lpwstr/>
  </property>
</Properties>
</file>