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1\volm1\User\WRK_GRP\Power_Procurement\PA18-50 and 19-35 Implementation\SCEF\PURA Filing\Year 7 25-08-03\Order No. 11\"/>
    </mc:Choice>
  </mc:AlternateContent>
  <xr:revisionPtr revIDLastSave="0" documentId="8_{843DF5A2-4203-48FD-A74B-71A6B5B9D3A9}" xr6:coauthVersionLast="47" xr6:coauthVersionMax="47" xr10:uidLastSave="{00000000-0000-0000-0000-000000000000}"/>
  <bookViews>
    <workbookView xWindow="-120" yWindow="-120" windowWidth="29040" windowHeight="15720" xr2:uid="{9F614944-92C4-4407-8EDB-D200D35BF024}"/>
  </bookViews>
  <sheets>
    <sheet name="Sheet1" sheetId="1" r:id="rId1"/>
  </sheets>
  <externalReferences>
    <externalReference r:id="rId2"/>
  </externalReferences>
  <definedNames>
    <definedName name="_xlnm._FilterDatabase" localSheetId="0" hidden="1">Sheet1!$A$7:$BO$35</definedName>
    <definedName name="_xlnm.Print_Area" localSheetId="0">Sheet1!$A$1:$AC$19</definedName>
    <definedName name="_xlnm.Print_Titles" localSheetId="0">Sheet1!$A:$A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T33" i="1"/>
  <c r="T34" i="1"/>
  <c r="T35" i="1"/>
  <c r="T32" i="1"/>
  <c r="R33" i="1"/>
  <c r="R34" i="1"/>
  <c r="R35" i="1"/>
  <c r="R32" i="1"/>
  <c r="P32" i="1"/>
  <c r="P33" i="1"/>
  <c r="P34" i="1"/>
  <c r="P35" i="1"/>
  <c r="O35" i="1"/>
  <c r="O34" i="1"/>
  <c r="O32" i="1"/>
  <c r="Q9" i="1"/>
  <c r="R9" i="1" s="1"/>
  <c r="S9" i="1"/>
  <c r="T9" i="1" s="1"/>
  <c r="S8" i="1"/>
  <c r="T8" i="1" s="1"/>
  <c r="Y17" i="1"/>
  <c r="S28" i="1"/>
  <c r="T28" i="1" s="1"/>
  <c r="S29" i="1"/>
  <c r="T29" i="1" s="1"/>
  <c r="S30" i="1"/>
  <c r="T30" i="1" s="1"/>
  <c r="S31" i="1"/>
  <c r="T31" i="1" s="1"/>
  <c r="P28" i="1"/>
  <c r="Q28" i="1" s="1"/>
  <c r="R28" i="1" s="1"/>
  <c r="P29" i="1"/>
  <c r="Q29" i="1"/>
  <c r="R29" i="1" s="1"/>
  <c r="P30" i="1"/>
  <c r="Q30" i="1" s="1"/>
  <c r="R30" i="1" s="1"/>
  <c r="P31" i="1"/>
  <c r="Q31" i="1" s="1"/>
  <c r="R31" i="1" s="1"/>
  <c r="P27" i="1"/>
  <c r="P26" i="1"/>
  <c r="K26" i="1"/>
  <c r="S26" i="1" s="1"/>
  <c r="T26" i="1" s="1"/>
  <c r="K27" i="1"/>
  <c r="J27" i="1"/>
  <c r="J26" i="1"/>
  <c r="S25" i="1"/>
  <c r="T25" i="1" s="1"/>
  <c r="P25" i="1"/>
  <c r="Q25" i="1" s="1"/>
  <c r="R25" i="1" s="1"/>
  <c r="P24" i="1"/>
  <c r="P23" i="1"/>
  <c r="P22" i="1"/>
  <c r="K24" i="1"/>
  <c r="K23" i="1"/>
  <c r="S23" i="1" s="1"/>
  <c r="T23" i="1" s="1"/>
  <c r="K22" i="1"/>
  <c r="S22" i="1" s="1"/>
  <c r="T22" i="1" s="1"/>
  <c r="J24" i="1"/>
  <c r="J23" i="1"/>
  <c r="J22" i="1"/>
  <c r="P21" i="1"/>
  <c r="Q21" i="1" s="1"/>
  <c r="R21" i="1" s="1"/>
  <c r="P20" i="1"/>
  <c r="P19" i="1"/>
  <c r="K20" i="1"/>
  <c r="S20" i="1" s="1"/>
  <c r="T20" i="1" s="1"/>
  <c r="K19" i="1"/>
  <c r="S19" i="1" s="1"/>
  <c r="T19" i="1" s="1"/>
  <c r="P18" i="1"/>
  <c r="Q18" i="1" s="1"/>
  <c r="R18" i="1" s="1"/>
  <c r="S15" i="1"/>
  <c r="T15" i="1" s="1"/>
  <c r="Q15" i="1"/>
  <c r="R15" i="1" s="1"/>
  <c r="S14" i="1"/>
  <c r="T14" i="1" s="1"/>
  <c r="Q14" i="1"/>
  <c r="R14" i="1" s="1"/>
  <c r="S13" i="1"/>
  <c r="T13" i="1" s="1"/>
  <c r="Q13" i="1"/>
  <c r="R13" i="1" s="1"/>
  <c r="S12" i="1"/>
  <c r="T12" i="1" s="1"/>
  <c r="Q12" i="1"/>
  <c r="R12" i="1" s="1"/>
  <c r="S11" i="1"/>
  <c r="T11" i="1" s="1"/>
  <c r="Q11" i="1"/>
  <c r="R11" i="1"/>
  <c r="S10" i="1"/>
  <c r="T10" i="1" s="1"/>
  <c r="Q10" i="1"/>
  <c r="R10" i="1" s="1"/>
  <c r="O9" i="1"/>
  <c r="Q8" i="1"/>
  <c r="R8" i="1" s="1"/>
  <c r="O8" i="1"/>
  <c r="K16" i="1"/>
  <c r="S16" i="1" s="1"/>
  <c r="T16" i="1" s="1"/>
  <c r="P16" i="1"/>
  <c r="P17" i="1"/>
  <c r="Q17" i="1" s="1"/>
  <c r="R17" i="1" s="1"/>
  <c r="S17" i="1"/>
  <c r="T17" i="1" s="1"/>
  <c r="I18" i="1"/>
  <c r="Q27" i="1" l="1"/>
  <c r="R27" i="1" s="1"/>
  <c r="D1" i="1"/>
  <c r="Q20" i="1"/>
  <c r="R20" i="1" s="1"/>
  <c r="Q22" i="1"/>
  <c r="R22" i="1" s="1"/>
  <c r="Q24" i="1"/>
  <c r="R24" i="1" s="1"/>
  <c r="S27" i="1"/>
  <c r="T27" i="1" s="1"/>
  <c r="Q16" i="1"/>
  <c r="R16" i="1" s="1"/>
  <c r="S24" i="1"/>
  <c r="T24" i="1" s="1"/>
  <c r="D5" i="1" s="1"/>
  <c r="Q23" i="1"/>
  <c r="R23" i="1" s="1"/>
  <c r="Q19" i="1"/>
  <c r="R19" i="1" s="1"/>
  <c r="Q26" i="1"/>
  <c r="R26" i="1" s="1"/>
  <c r="D4" i="1" l="1"/>
</calcChain>
</file>

<file path=xl/sharedStrings.xml><?xml version="1.0" encoding="utf-8"?>
<sst xmlns="http://schemas.openxmlformats.org/spreadsheetml/2006/main" count="392" uniqueCount="149">
  <si>
    <t>Total MW Selected</t>
  </si>
  <si>
    <t>Unallocated Budget</t>
  </si>
  <si>
    <t>Total In-Service MW</t>
  </si>
  <si>
    <t>Total Projected 20-Year Payments to Subscriber Organizations</t>
  </si>
  <si>
    <t>Total Projected 20-Year Payments to Subscribers</t>
  </si>
  <si>
    <t>Project ID</t>
  </si>
  <si>
    <t>Selection Status</t>
  </si>
  <si>
    <t>Project Name</t>
  </si>
  <si>
    <t>Subscriber Organization</t>
  </si>
  <si>
    <t>Site Address</t>
  </si>
  <si>
    <t>Technology</t>
  </si>
  <si>
    <t>Solar Technology Sub-Type</t>
  </si>
  <si>
    <t>Project Status</t>
  </si>
  <si>
    <t>As-Bid Project Size (MW)</t>
  </si>
  <si>
    <t>Awarded Project Size (MW)</t>
  </si>
  <si>
    <t>Expected Annual Production in kWh**</t>
  </si>
  <si>
    <t>Landfill Bid Preference (T/F as determined by DEEP)</t>
  </si>
  <si>
    <t>Brownfield Bid Preference (T/F as determined by DEEP)</t>
  </si>
  <si>
    <t>As-Bid Average Bid Price (/MWh)</t>
  </si>
  <si>
    <t>Evaluated Bid Price (/MWh)</t>
  </si>
  <si>
    <t>Per Year Price/kWh</t>
  </si>
  <si>
    <t>Per Year Projected Payment to Subscriber Organization</t>
  </si>
  <si>
    <t>Total 20-Year Projected Payments to Subscriber Organization</t>
  </si>
  <si>
    <t>Projected Annual Payments to Subscribers</t>
  </si>
  <si>
    <t>Total 20-Year Projected Payments to Subscribers</t>
  </si>
  <si>
    <t>PURA Approval Date</t>
  </si>
  <si>
    <t>Most Recent Non-binding, estimated In-Service date</t>
  </si>
  <si>
    <t>Customer Class/Tariff (Customer Rate)</t>
  </si>
  <si>
    <t>In-Service Project Size (MW)</t>
  </si>
  <si>
    <t>Reallocated MWs (allocated, but unused MWs)</t>
  </si>
  <si>
    <t>Low Income Allocation</t>
  </si>
  <si>
    <t>Small Business Allocation</t>
  </si>
  <si>
    <t>Low Income, Moderate Income, Low Income Service Organization, or Landlord of Affordable Housing Allocation</t>
  </si>
  <si>
    <t>Opt-In Allocation</t>
  </si>
  <si>
    <t>SCEF1-120071221124622</t>
  </si>
  <si>
    <t>Disqualified</t>
  </si>
  <si>
    <t>North Haven Solar One</t>
  </si>
  <si>
    <t>VCP, LLC</t>
  </si>
  <si>
    <t>122 Mill Road, North Haven</t>
  </si>
  <si>
    <t>Solar PV</t>
  </si>
  <si>
    <t>Fixed Tilt</t>
  </si>
  <si>
    <t>Not Selected</t>
  </si>
  <si>
    <t>F</t>
  </si>
  <si>
    <t>N/A</t>
  </si>
  <si>
    <t>SCEF1-120071017241699</t>
  </si>
  <si>
    <t>Selected</t>
  </si>
  <si>
    <t>49 Coon Hollow Road, DERBY</t>
  </si>
  <si>
    <t>SCEF1 Fuel Cell, LLC</t>
  </si>
  <si>
    <t>49 Coon Hollow Road, Derby</t>
  </si>
  <si>
    <t>Fuel Cell</t>
  </si>
  <si>
    <t>In-Service</t>
  </si>
  <si>
    <t>In-Service 12/14/2023</t>
  </si>
  <si>
    <t>New Construction</t>
  </si>
  <si>
    <t>SCEF1-120071018522213</t>
  </si>
  <si>
    <t>40 Pepes Farm Rd, MILFORD</t>
  </si>
  <si>
    <t>Dynamic Energy Solutions, LLC</t>
  </si>
  <si>
    <t>40 Pepes Farm Road, Milford</t>
  </si>
  <si>
    <t>In-Service 8/2/2023</t>
  </si>
  <si>
    <t>SCEF1-120071312395525</t>
  </si>
  <si>
    <t>121 West Pond Road NORTH BRANFORD</t>
  </si>
  <si>
    <t>Jefferson Solar, LLC</t>
  </si>
  <si>
    <t>121 West Pond Road, North Branford</t>
  </si>
  <si>
    <t>Single Axis</t>
  </si>
  <si>
    <t>Terminated</t>
  </si>
  <si>
    <t>SCEF2-121061412594149</t>
  </si>
  <si>
    <t>95 Christian Street, Oxford</t>
  </si>
  <si>
    <t>Gass Renewables, LLC</t>
  </si>
  <si>
    <t>SCEF2-121061413104383</t>
  </si>
  <si>
    <t>28 Pearl Street, Seymour</t>
  </si>
  <si>
    <t>SCEF2-121061117324549</t>
  </si>
  <si>
    <t>West Haven 2</t>
  </si>
  <si>
    <t>Greenskies Clean Energy LLC</t>
  </si>
  <si>
    <t>8 Spring Street, West Haven</t>
  </si>
  <si>
    <t>T</t>
  </si>
  <si>
    <t>In-Service 8/18/2025</t>
  </si>
  <si>
    <t>SCEF2-121061117242126</t>
  </si>
  <si>
    <t>West Haven 1</t>
  </si>
  <si>
    <t>239 Front Avenue, Rear/Helm Street, West Haven</t>
  </si>
  <si>
    <t>SCEF3-122030320082272</t>
  </si>
  <si>
    <t>1225 Central Avenue</t>
  </si>
  <si>
    <t>VFS, LLC</t>
  </si>
  <si>
    <t>1225 Central Avenue, Bridgeport</t>
  </si>
  <si>
    <t>In-Service 12/12/2025</t>
  </si>
  <si>
    <t>SCEF3-122030409141015</t>
  </si>
  <si>
    <t>39 Pine Street</t>
  </si>
  <si>
    <t>Fuel Cell Energy</t>
  </si>
  <si>
    <t>39 Pine Street, Bridgeport</t>
  </si>
  <si>
    <t>SCEF3-122030408564765</t>
  </si>
  <si>
    <t>35 North Main St</t>
  </si>
  <si>
    <t>HyAxiom Inc.</t>
  </si>
  <si>
    <t>35 North  Main St, Ansonia</t>
  </si>
  <si>
    <t>SCEF4-3066</t>
  </si>
  <si>
    <t>HyAx Ansonia 01</t>
  </si>
  <si>
    <t>HyAxiom Inc</t>
  </si>
  <si>
    <t>35 North Main St, Ansonia</t>
  </si>
  <si>
    <t>Not In-Service</t>
  </si>
  <si>
    <t>SCEF4-3047</t>
  </si>
  <si>
    <t>380 Horace St</t>
  </si>
  <si>
    <t>Cogswell Solar Devco LLC</t>
  </si>
  <si>
    <t>380 Horace Street, Bridgeport</t>
  </si>
  <si>
    <t>SCEF4-3067</t>
  </si>
  <si>
    <t>Clean Energy FC, LLC</t>
  </si>
  <si>
    <t>318 Washington Ave, West Haven</t>
  </si>
  <si>
    <t>SCEF5-33438</t>
  </si>
  <si>
    <t>540 Longbrook</t>
  </si>
  <si>
    <t>HyAxiom</t>
  </si>
  <si>
    <t>540 Longbrook Avenue, Stratford</t>
  </si>
  <si>
    <t>SCEF5-33611</t>
  </si>
  <si>
    <t>994-1010 Racebrook</t>
  </si>
  <si>
    <t>994-1010 Racebrook, Woodbridge</t>
  </si>
  <si>
    <t>SCEF5-33618</t>
  </si>
  <si>
    <t>121 W Pond Rd</t>
  </si>
  <si>
    <t>121 W Pond Rd, North Branford</t>
  </si>
  <si>
    <t>SCEF6-179010</t>
  </si>
  <si>
    <t>VCP Realty Rimmon Rd</t>
  </si>
  <si>
    <t>VCP Realty, LLC</t>
  </si>
  <si>
    <t>208 Rimmon Rd, North Haven</t>
  </si>
  <si>
    <t>SCEF6-311968</t>
  </si>
  <si>
    <t>VCP Realty Foxon Blvd</t>
  </si>
  <si>
    <t>315 Foxon Blvd, New Haven</t>
  </si>
  <si>
    <t>SCEF6-310221</t>
  </si>
  <si>
    <t>HyAxiom Inc. Knowlton St</t>
  </si>
  <si>
    <t>565 Knowlton Street, Bridgeport</t>
  </si>
  <si>
    <t>SCEF6-311865</t>
  </si>
  <si>
    <t>Allco Hill Street</t>
  </si>
  <si>
    <t>Allco Finance Limited Inc.</t>
  </si>
  <si>
    <t>135 Hill Street, Ansonia</t>
  </si>
  <si>
    <t>SCEF6-311886</t>
  </si>
  <si>
    <t>Allco Buckingham A</t>
  </si>
  <si>
    <t>66 Buckingham Rd A, Seymore</t>
  </si>
  <si>
    <t>SCEF6-311943</t>
  </si>
  <si>
    <t>Allco Buckingham B</t>
  </si>
  <si>
    <t>66 Buckingham Rd B, Seymore</t>
  </si>
  <si>
    <t>SCEF6-311967</t>
  </si>
  <si>
    <t>Allco Buckingham C</t>
  </si>
  <si>
    <t>66 Buckingham Rd C, Seymore</t>
  </si>
  <si>
    <t>SCEF7-440880</t>
  </si>
  <si>
    <t>VCP Realty Barberry Rd</t>
  </si>
  <si>
    <t>26 Barberry Road, East Haven</t>
  </si>
  <si>
    <t>SCEF7-440861</t>
  </si>
  <si>
    <t>Allco West Pond Rd</t>
  </si>
  <si>
    <t>121 West Pond Road, North Haven</t>
  </si>
  <si>
    <t>SCEF7-440870</t>
  </si>
  <si>
    <t>Allco Buckingham Rd</t>
  </si>
  <si>
    <t>10 Buckingham Road, Derby</t>
  </si>
  <si>
    <t>SCEF7-440877</t>
  </si>
  <si>
    <t>Allco Finance Limited Inc. 135 Hill Street</t>
  </si>
  <si>
    <t>*Allocated, but Unused MW indicates MW from a SCEF Project that was selected and executed but ultimately Terminated or Final Facility size was smaller than Bid Facility Size</t>
  </si>
  <si>
    <t>**UI has updated the Expected Annual Production of a Year 1 Selection to reflect the Expected Annual Production for the partial award.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</si>
</sst>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.00_);_(&quot;$&quot;* \(#,##0.00\);_(&quot;$&quot;* &quot;-&quot;????_);_(@_)"/>
    <numFmt numFmtId="166" formatCode="_(* #,##0_);_(* \(#,##0\);_(* &quot;-&quot;??_);_(@_)"/>
    <numFmt numFmtId="167" formatCode="0.000"/>
    <numFmt numFmtId="168" formatCode="_(* #,##0.000_);_(* \(#,##0.0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7" fontId="0" fillId="0" borderId="1" xfId="0" applyNumberFormat="1" applyBorder="1"/>
    <xf numFmtId="166" fontId="0" fillId="0" borderId="1" xfId="1" applyNumberFormat="1" applyFont="1" applyFill="1" applyBorder="1"/>
    <xf numFmtId="165" fontId="0" fillId="0" borderId="1" xfId="0" applyNumberFormat="1" applyBorder="1"/>
    <xf numFmtId="44" fontId="0" fillId="0" borderId="1" xfId="2" applyFont="1" applyFill="1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168" fontId="0" fillId="0" borderId="1" xfId="1" applyNumberFormat="1" applyFont="1" applyBorder="1"/>
    <xf numFmtId="0" fontId="4" fillId="0" borderId="1" xfId="0" applyFont="1" applyBorder="1" applyAlignment="1">
      <alignment wrapText="1"/>
    </xf>
    <xf numFmtId="167" fontId="3" fillId="0" borderId="1" xfId="0" applyNumberFormat="1" applyFont="1" applyBorder="1" applyAlignment="1">
      <alignment horizontal="center"/>
    </xf>
    <xf numFmtId="44" fontId="4" fillId="0" borderId="1" xfId="2" applyFont="1" applyFill="1" applyBorder="1" applyAlignment="1">
      <alignment wrapText="1"/>
    </xf>
    <xf numFmtId="166" fontId="0" fillId="0" borderId="0" xfId="1" applyNumberFormat="1" applyFont="1"/>
    <xf numFmtId="0" fontId="2" fillId="0" borderId="1" xfId="0" applyFont="1" applyBorder="1"/>
    <xf numFmtId="166" fontId="0" fillId="0" borderId="1" xfId="1" applyNumberFormat="1" applyFont="1" applyBorder="1"/>
    <xf numFmtId="44" fontId="0" fillId="0" borderId="1" xfId="2" applyFont="1" applyBorder="1"/>
    <xf numFmtId="44" fontId="0" fillId="0" borderId="0" xfId="2" applyFont="1" applyFill="1"/>
    <xf numFmtId="0" fontId="2" fillId="0" borderId="1" xfId="0" applyFont="1" applyBorder="1" applyAlignment="1">
      <alignment wrapText="1"/>
    </xf>
    <xf numFmtId="166" fontId="2" fillId="0" borderId="1" xfId="1" applyNumberFormat="1" applyFont="1" applyFill="1" applyBorder="1" applyAlignment="1">
      <alignment wrapText="1"/>
    </xf>
    <xf numFmtId="44" fontId="2" fillId="0" borderId="1" xfId="2" applyFont="1" applyFill="1" applyBorder="1" applyAlignment="1">
      <alignment wrapText="1"/>
    </xf>
    <xf numFmtId="0" fontId="3" fillId="0" borderId="1" xfId="0" applyFont="1" applyBorder="1"/>
    <xf numFmtId="167" fontId="3" fillId="0" borderId="1" xfId="0" applyNumberFormat="1" applyFont="1" applyBorder="1"/>
    <xf numFmtId="164" fontId="3" fillId="0" borderId="1" xfId="2" applyNumberFormat="1" applyFont="1" applyBorder="1"/>
    <xf numFmtId="164" fontId="3" fillId="0" borderId="1" xfId="2" applyNumberFormat="1" applyFont="1" applyFill="1" applyBorder="1"/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/>
    <xf numFmtId="43" fontId="0" fillId="0" borderId="1" xfId="0" applyNumberFormat="1" applyBorder="1"/>
    <xf numFmtId="167" fontId="0" fillId="0" borderId="0" xfId="0" applyNumberFormat="1"/>
    <xf numFmtId="166" fontId="0" fillId="0" borderId="0" xfId="1" applyNumberFormat="1" applyFont="1" applyBorder="1"/>
    <xf numFmtId="0" fontId="0" fillId="0" borderId="0" xfId="0" applyAlignment="1">
      <alignment horizontal="center"/>
    </xf>
    <xf numFmtId="44" fontId="0" fillId="0" borderId="0" xfId="2" applyFont="1" applyFill="1" applyBorder="1"/>
    <xf numFmtId="44" fontId="0" fillId="0" borderId="0" xfId="2" applyFont="1" applyBorder="1"/>
    <xf numFmtId="164" fontId="0" fillId="0" borderId="0" xfId="0" applyNumberFormat="1"/>
    <xf numFmtId="165" fontId="0" fillId="0" borderId="0" xfId="0" applyNumberFormat="1"/>
    <xf numFmtId="44" fontId="0" fillId="0" borderId="0" xfId="0" applyNumberFormat="1"/>
    <xf numFmtId="43" fontId="0" fillId="0" borderId="0" xfId="0" applyNumberFormat="1"/>
    <xf numFmtId="14" fontId="0" fillId="0" borderId="0" xfId="0" applyNumberFormat="1"/>
    <xf numFmtId="167" fontId="0" fillId="0" borderId="1" xfId="0" applyNumberFormat="1" applyBorder="1" applyAlignment="1">
      <alignment horizontal="center"/>
    </xf>
    <xf numFmtId="165" fontId="0" fillId="0" borderId="1" xfId="2" applyNumberFormat="1" applyFont="1" applyFill="1" applyBorder="1"/>
    <xf numFmtId="9" fontId="0" fillId="0" borderId="1" xfId="3" applyFont="1" applyBorder="1" applyAlignment="1">
      <alignment horizontal="center"/>
    </xf>
    <xf numFmtId="0" fontId="0" fillId="0" borderId="0" xfId="0" applyAlignme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1\volm1\User\WRK_GRP\Power_Procurement\PA18-50%20and%2019-35%20Implementation\SCEF\PURA%20Filing\Year%207%2025-08-03\Order%20No.%2011\SCEF%20Year%207%20Bid%20Evaluation.xlsx" TargetMode="External"/><Relationship Id="rId1" Type="http://schemas.openxmlformats.org/officeDocument/2006/relationships/externalLinkPath" Target="SCEF%20Year%207%20Bid%20Evalu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EF Year 7"/>
    </sheetNames>
    <sheetDataSet>
      <sheetData sheetId="0">
        <row r="21">
          <cell r="I21">
            <v>3001068.4722199999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0B8E-40CC-47CA-9071-2E91C22E921A}">
  <sheetPr>
    <pageSetUpPr fitToPage="1"/>
  </sheetPr>
  <dimension ref="A1:BN38"/>
  <sheetViews>
    <sheetView tabSelected="1" view="pageLayout" topLeftCell="E11" zoomScaleNormal="90" zoomScaleSheetLayoutView="100" workbookViewId="0">
      <selection activeCell="T35" sqref="T35"/>
    </sheetView>
  </sheetViews>
  <sheetFormatPr defaultRowHeight="15"/>
  <cols>
    <col min="1" max="1" width="20.85546875" customWidth="1"/>
    <col min="2" max="2" width="12.140625" customWidth="1"/>
    <col min="3" max="3" width="55.85546875" customWidth="1"/>
    <col min="4" max="4" width="28.5703125" customWidth="1"/>
    <col min="5" max="5" width="44.42578125" customWidth="1"/>
    <col min="6" max="6" width="11.28515625" customWidth="1"/>
    <col min="7" max="7" width="11.140625" customWidth="1"/>
    <col min="8" max="8" width="17.140625" bestFit="1" customWidth="1"/>
    <col min="9" max="9" width="12.7109375" bestFit="1" customWidth="1"/>
    <col min="10" max="10" width="11.7109375" customWidth="1"/>
    <col min="11" max="11" width="14.28515625" style="13" bestFit="1" customWidth="1"/>
    <col min="12" max="13" width="12.85546875" bestFit="1" customWidth="1"/>
    <col min="14" max="14" width="10.42578125" bestFit="1" customWidth="1"/>
    <col min="15" max="15" width="10.28515625" bestFit="1" customWidth="1"/>
    <col min="16" max="16" width="18.85546875" bestFit="1" customWidth="1"/>
    <col min="17" max="17" width="17.140625" bestFit="1" customWidth="1"/>
    <col min="18" max="18" width="18.140625" bestFit="1" customWidth="1"/>
    <col min="19" max="19" width="15.140625" customWidth="1"/>
    <col min="20" max="20" width="16.140625" customWidth="1"/>
    <col min="21" max="21" width="12.140625" bestFit="1" customWidth="1"/>
    <col min="22" max="23" width="20.140625" bestFit="1" customWidth="1"/>
    <col min="24" max="24" width="11.7109375" customWidth="1"/>
    <col min="25" max="29" width="13.5703125" customWidth="1"/>
    <col min="30" max="41" width="10.85546875" bestFit="1" customWidth="1"/>
    <col min="42" max="42" width="14.7109375" customWidth="1"/>
    <col min="43" max="43" width="14.85546875" customWidth="1"/>
    <col min="44" max="44" width="14.28515625" customWidth="1"/>
    <col min="45" max="45" width="14.42578125" customWidth="1"/>
    <col min="46" max="46" width="16" customWidth="1"/>
    <col min="47" max="58" width="15.5703125" customWidth="1"/>
    <col min="59" max="61" width="16.42578125" customWidth="1"/>
    <col min="62" max="62" width="24.85546875" customWidth="1"/>
    <col min="63" max="65" width="16.42578125" customWidth="1"/>
    <col min="66" max="66" width="16.42578125" style="17" customWidth="1"/>
    <col min="67" max="67" width="18.140625" customWidth="1"/>
  </cols>
  <sheetData>
    <row r="1" spans="1:66">
      <c r="C1" s="14" t="s">
        <v>0</v>
      </c>
      <c r="D1" s="9">
        <f>SUM(J9,J10,J11,J14:J17,J19:J20,J22:J24,J25,J26,J27,J32,J34,J35)</f>
        <v>44.309000000000005</v>
      </c>
    </row>
    <row r="2" spans="1:66">
      <c r="C2" s="14" t="s">
        <v>1</v>
      </c>
      <c r="D2" s="9">
        <f>'[1]SCEF Year 7'!$I$21</f>
        <v>3001068.4722199999</v>
      </c>
    </row>
    <row r="3" spans="1:66">
      <c r="C3" s="14" t="s">
        <v>2</v>
      </c>
      <c r="D3" s="9">
        <f>SUMIF(H8:H35,"In-Service",X8:X35)</f>
        <v>10.149999999999999</v>
      </c>
    </row>
    <row r="4" spans="1:66">
      <c r="C4" s="14" t="s">
        <v>3</v>
      </c>
      <c r="D4" s="16">
        <f>SUMIF(B8:B35,"Selected",R8:R35)</f>
        <v>547202834.06360006</v>
      </c>
    </row>
    <row r="5" spans="1:66">
      <c r="C5" s="14" t="s">
        <v>4</v>
      </c>
      <c r="D5" s="16">
        <f>SUMIF(B8:B35,"Selected",T8:T35)</f>
        <v>99415031.5</v>
      </c>
    </row>
    <row r="7" spans="1:66" s="1" customFormat="1" ht="150">
      <c r="A7" s="18" t="s">
        <v>5</v>
      </c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0" t="s">
        <v>12</v>
      </c>
      <c r="I7" s="18" t="s">
        <v>13</v>
      </c>
      <c r="J7" s="18" t="s">
        <v>14</v>
      </c>
      <c r="K7" s="19" t="s">
        <v>15</v>
      </c>
      <c r="L7" s="18" t="s">
        <v>16</v>
      </c>
      <c r="M7" s="18" t="s">
        <v>17</v>
      </c>
      <c r="N7" s="20" t="s">
        <v>18</v>
      </c>
      <c r="O7" s="20" t="s">
        <v>19</v>
      </c>
      <c r="P7" s="12" t="s">
        <v>20</v>
      </c>
      <c r="Q7" s="20" t="s">
        <v>21</v>
      </c>
      <c r="R7" s="20" t="s">
        <v>22</v>
      </c>
      <c r="S7" s="20" t="s">
        <v>23</v>
      </c>
      <c r="T7" s="20" t="s">
        <v>24</v>
      </c>
      <c r="U7" s="20" t="s">
        <v>25</v>
      </c>
      <c r="V7" s="18" t="s">
        <v>26</v>
      </c>
      <c r="W7" s="18" t="s">
        <v>27</v>
      </c>
      <c r="X7" s="10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</row>
    <row r="8" spans="1:66" s="1" customFormat="1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1" t="s">
        <v>41</v>
      </c>
      <c r="I8" s="3">
        <v>1.625</v>
      </c>
      <c r="J8" s="3">
        <v>0</v>
      </c>
      <c r="K8" s="4">
        <v>0</v>
      </c>
      <c r="L8" s="8" t="s">
        <v>42</v>
      </c>
      <c r="M8" s="8" t="s">
        <v>42</v>
      </c>
      <c r="N8" s="16">
        <v>100</v>
      </c>
      <c r="O8" s="16">
        <f t="shared" ref="O8:O9" si="0">N8</f>
        <v>100</v>
      </c>
      <c r="P8" s="24">
        <v>0.1</v>
      </c>
      <c r="Q8" s="5">
        <f t="shared" ref="Q8:Q15" si="1">$K8*P8</f>
        <v>0</v>
      </c>
      <c r="R8" s="6">
        <f>Q8*20</f>
        <v>0</v>
      </c>
      <c r="S8" s="5">
        <f>K8*0.025</f>
        <v>0</v>
      </c>
      <c r="T8" s="7">
        <f t="shared" ref="T8" si="2">S8*20</f>
        <v>0</v>
      </c>
      <c r="U8" s="26" t="s">
        <v>43</v>
      </c>
      <c r="V8" s="27" t="s">
        <v>43</v>
      </c>
      <c r="W8" s="27" t="s">
        <v>43</v>
      </c>
      <c r="X8" s="11">
        <v>0</v>
      </c>
      <c r="Y8" s="40">
        <v>0</v>
      </c>
      <c r="Z8" s="40"/>
      <c r="AA8" s="40"/>
      <c r="AB8" s="40"/>
      <c r="AC8" s="40"/>
    </row>
    <row r="9" spans="1:66" s="1" customFormat="1">
      <c r="A9" s="2" t="s">
        <v>44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1" t="s">
        <v>50</v>
      </c>
      <c r="I9" s="3">
        <v>2.8</v>
      </c>
      <c r="J9" s="3">
        <v>2.8</v>
      </c>
      <c r="K9" s="4">
        <v>21988476</v>
      </c>
      <c r="L9" s="8" t="s">
        <v>42</v>
      </c>
      <c r="M9" s="8" t="s">
        <v>42</v>
      </c>
      <c r="N9" s="16">
        <v>137</v>
      </c>
      <c r="O9" s="16">
        <f t="shared" si="0"/>
        <v>137</v>
      </c>
      <c r="P9" s="24">
        <v>0.13700000000000001</v>
      </c>
      <c r="Q9" s="5">
        <f>$K9*P9</f>
        <v>3012421.2120000003</v>
      </c>
      <c r="R9" s="6">
        <f>Q9*20</f>
        <v>60248424.24000001</v>
      </c>
      <c r="S9" s="5">
        <f>K9*0.025</f>
        <v>549711.9</v>
      </c>
      <c r="T9" s="7">
        <f>S9*20</f>
        <v>10994238</v>
      </c>
      <c r="U9" s="27">
        <v>44218</v>
      </c>
      <c r="V9" s="27" t="s">
        <v>51</v>
      </c>
      <c r="W9" s="5" t="s">
        <v>52</v>
      </c>
      <c r="X9" s="11">
        <v>2.8</v>
      </c>
      <c r="Y9" s="25" t="s">
        <v>43</v>
      </c>
      <c r="Z9" s="42">
        <v>0.5</v>
      </c>
      <c r="AA9" s="42">
        <v>0.2</v>
      </c>
      <c r="AB9" s="42">
        <v>0.2</v>
      </c>
      <c r="AC9" s="42">
        <v>0.1</v>
      </c>
    </row>
    <row r="10" spans="1:66" s="1" customFormat="1">
      <c r="A10" s="2" t="s">
        <v>53</v>
      </c>
      <c r="B10" s="2" t="s">
        <v>45</v>
      </c>
      <c r="C10" s="2" t="s">
        <v>54</v>
      </c>
      <c r="D10" s="2" t="s">
        <v>55</v>
      </c>
      <c r="E10" s="2" t="s">
        <v>56</v>
      </c>
      <c r="F10" s="2" t="s">
        <v>39</v>
      </c>
      <c r="G10" s="2" t="s">
        <v>40</v>
      </c>
      <c r="H10" s="21" t="s">
        <v>50</v>
      </c>
      <c r="I10" s="3">
        <v>1.5</v>
      </c>
      <c r="J10" s="3">
        <v>1.5</v>
      </c>
      <c r="K10" s="4">
        <v>2675000</v>
      </c>
      <c r="L10" s="8" t="s">
        <v>42</v>
      </c>
      <c r="M10" s="8" t="s">
        <v>42</v>
      </c>
      <c r="N10" s="16">
        <v>135</v>
      </c>
      <c r="O10" s="16">
        <v>135</v>
      </c>
      <c r="P10" s="24">
        <v>0.13500000000000001</v>
      </c>
      <c r="Q10" s="5">
        <f t="shared" si="1"/>
        <v>361125</v>
      </c>
      <c r="R10" s="6">
        <f t="shared" ref="R10:R15" si="3">Q10*20</f>
        <v>7222500</v>
      </c>
      <c r="S10" s="5">
        <f>K10*0.025</f>
        <v>66875</v>
      </c>
      <c r="T10" s="7">
        <f>S10*20</f>
        <v>1337500</v>
      </c>
      <c r="U10" s="27">
        <v>44218</v>
      </c>
      <c r="V10" s="27" t="s">
        <v>57</v>
      </c>
      <c r="W10" s="5" t="s">
        <v>52</v>
      </c>
      <c r="X10" s="11">
        <v>1.5</v>
      </c>
      <c r="Y10" s="25" t="s">
        <v>43</v>
      </c>
      <c r="Z10" s="42">
        <v>0.5</v>
      </c>
      <c r="AA10" s="42">
        <v>0.2</v>
      </c>
      <c r="AB10" s="42">
        <v>0.2</v>
      </c>
      <c r="AC10" s="42">
        <v>0.1</v>
      </c>
    </row>
    <row r="11" spans="1:66" s="1" customFormat="1">
      <c r="A11" s="2" t="s">
        <v>58</v>
      </c>
      <c r="B11" s="2" t="s">
        <v>45</v>
      </c>
      <c r="C11" s="2" t="s">
        <v>59</v>
      </c>
      <c r="D11" s="2" t="s">
        <v>60</v>
      </c>
      <c r="E11" s="2" t="s">
        <v>61</v>
      </c>
      <c r="F11" s="2" t="s">
        <v>39</v>
      </c>
      <c r="G11" s="2" t="s">
        <v>62</v>
      </c>
      <c r="H11" s="21" t="s">
        <v>63</v>
      </c>
      <c r="I11" s="3">
        <v>4</v>
      </c>
      <c r="J11" s="3">
        <v>0.7</v>
      </c>
      <c r="K11" s="4">
        <v>1235598</v>
      </c>
      <c r="L11" s="8" t="s">
        <v>42</v>
      </c>
      <c r="M11" s="8" t="s">
        <v>42</v>
      </c>
      <c r="N11" s="16">
        <v>159</v>
      </c>
      <c r="O11" s="16">
        <v>159</v>
      </c>
      <c r="P11" s="24">
        <v>0.159</v>
      </c>
      <c r="Q11" s="5">
        <f t="shared" si="1"/>
        <v>196460.08199999999</v>
      </c>
      <c r="R11" s="6">
        <f t="shared" si="3"/>
        <v>3929201.6399999997</v>
      </c>
      <c r="S11" s="5">
        <f t="shared" ref="S11:S15" si="4">K11*0.025</f>
        <v>30889.95</v>
      </c>
      <c r="T11" s="7">
        <f>S11*20</f>
        <v>617799</v>
      </c>
      <c r="U11" s="27">
        <v>44218</v>
      </c>
      <c r="V11" s="27">
        <v>45312</v>
      </c>
      <c r="W11" s="5" t="s">
        <v>52</v>
      </c>
      <c r="X11" s="11">
        <v>0</v>
      </c>
      <c r="Y11" s="25">
        <v>0.7</v>
      </c>
      <c r="Z11" s="42"/>
      <c r="AA11" s="42"/>
      <c r="AB11" s="42"/>
      <c r="AC11" s="42"/>
    </row>
    <row r="12" spans="1:66" s="1" customFormat="1">
      <c r="A12" s="2" t="s">
        <v>64</v>
      </c>
      <c r="B12" s="2" t="s">
        <v>35</v>
      </c>
      <c r="C12" s="2" t="s">
        <v>65</v>
      </c>
      <c r="D12" s="2" t="s">
        <v>66</v>
      </c>
      <c r="E12" s="2" t="s">
        <v>65</v>
      </c>
      <c r="F12" s="2" t="s">
        <v>39</v>
      </c>
      <c r="G12" s="2" t="s">
        <v>40</v>
      </c>
      <c r="H12" s="21" t="s">
        <v>41</v>
      </c>
      <c r="I12" s="22">
        <v>4</v>
      </c>
      <c r="J12" s="3">
        <v>0</v>
      </c>
      <c r="K12" s="4">
        <v>0</v>
      </c>
      <c r="L12" s="8" t="s">
        <v>43</v>
      </c>
      <c r="M12" s="8" t="s">
        <v>43</v>
      </c>
      <c r="N12" s="16">
        <v>90</v>
      </c>
      <c r="O12" s="8" t="s">
        <v>43</v>
      </c>
      <c r="P12" s="23">
        <v>0.09</v>
      </c>
      <c r="Q12" s="41">
        <f t="shared" si="1"/>
        <v>0</v>
      </c>
      <c r="R12" s="6">
        <f t="shared" si="3"/>
        <v>0</v>
      </c>
      <c r="S12" s="5">
        <f t="shared" si="4"/>
        <v>0</v>
      </c>
      <c r="T12" s="7">
        <f t="shared" ref="T12:T15" si="5">S12*20</f>
        <v>0</v>
      </c>
      <c r="U12" s="26" t="s">
        <v>43</v>
      </c>
      <c r="V12" s="26" t="s">
        <v>43</v>
      </c>
      <c r="W12" s="27" t="s">
        <v>43</v>
      </c>
      <c r="X12" s="11">
        <v>0</v>
      </c>
      <c r="Y12" s="40">
        <v>0</v>
      </c>
      <c r="Z12" s="42"/>
      <c r="AA12" s="42"/>
      <c r="AB12" s="42"/>
      <c r="AC12" s="42"/>
    </row>
    <row r="13" spans="1:66" s="1" customFormat="1">
      <c r="A13" s="2" t="s">
        <v>67</v>
      </c>
      <c r="B13" s="2" t="s">
        <v>35</v>
      </c>
      <c r="C13" s="2" t="s">
        <v>68</v>
      </c>
      <c r="D13" s="2" t="s">
        <v>66</v>
      </c>
      <c r="E13" s="2" t="s">
        <v>68</v>
      </c>
      <c r="F13" s="2" t="s">
        <v>39</v>
      </c>
      <c r="G13" s="2" t="s">
        <v>40</v>
      </c>
      <c r="H13" s="21" t="s">
        <v>41</v>
      </c>
      <c r="I13" s="3">
        <v>2.125</v>
      </c>
      <c r="J13" s="3">
        <v>0</v>
      </c>
      <c r="K13" s="4">
        <v>0</v>
      </c>
      <c r="L13" s="8" t="s">
        <v>43</v>
      </c>
      <c r="M13" s="8" t="s">
        <v>43</v>
      </c>
      <c r="N13" s="16">
        <v>95</v>
      </c>
      <c r="O13" s="8" t="s">
        <v>43</v>
      </c>
      <c r="P13" s="23">
        <v>9.5000000000000001E-2</v>
      </c>
      <c r="Q13" s="41">
        <f t="shared" si="1"/>
        <v>0</v>
      </c>
      <c r="R13" s="6">
        <f t="shared" si="3"/>
        <v>0</v>
      </c>
      <c r="S13" s="5">
        <f t="shared" si="4"/>
        <v>0</v>
      </c>
      <c r="T13" s="7">
        <f t="shared" si="5"/>
        <v>0</v>
      </c>
      <c r="U13" s="26" t="s">
        <v>43</v>
      </c>
      <c r="V13" s="26" t="s">
        <v>43</v>
      </c>
      <c r="W13" s="27" t="s">
        <v>43</v>
      </c>
      <c r="X13" s="11">
        <v>0</v>
      </c>
      <c r="Y13" s="40">
        <v>0</v>
      </c>
      <c r="Z13" s="42"/>
      <c r="AA13" s="42"/>
      <c r="AB13" s="42"/>
      <c r="AC13" s="42"/>
    </row>
    <row r="14" spans="1:66" s="1" customFormat="1">
      <c r="A14" s="2" t="s">
        <v>69</v>
      </c>
      <c r="B14" s="2" t="s">
        <v>45</v>
      </c>
      <c r="C14" s="2" t="s">
        <v>70</v>
      </c>
      <c r="D14" s="2" t="s">
        <v>71</v>
      </c>
      <c r="E14" s="2" t="s">
        <v>72</v>
      </c>
      <c r="F14" s="2" t="s">
        <v>39</v>
      </c>
      <c r="G14" s="2" t="s">
        <v>40</v>
      </c>
      <c r="H14" s="21" t="s">
        <v>50</v>
      </c>
      <c r="I14" s="3">
        <v>0.875</v>
      </c>
      <c r="J14" s="3">
        <v>0.875</v>
      </c>
      <c r="K14" s="15">
        <v>1512000</v>
      </c>
      <c r="L14" s="8" t="s">
        <v>73</v>
      </c>
      <c r="M14" s="8" t="s">
        <v>42</v>
      </c>
      <c r="N14" s="6">
        <v>136</v>
      </c>
      <c r="O14" s="6">
        <v>108.80000000000001</v>
      </c>
      <c r="P14" s="24">
        <v>0.13600000000000001</v>
      </c>
      <c r="Q14" s="41">
        <f t="shared" si="1"/>
        <v>205632.00000000003</v>
      </c>
      <c r="R14" s="6">
        <f t="shared" si="3"/>
        <v>4112640.0000000005</v>
      </c>
      <c r="S14" s="5">
        <f t="shared" si="4"/>
        <v>37800</v>
      </c>
      <c r="T14" s="7">
        <f t="shared" si="5"/>
        <v>756000</v>
      </c>
      <c r="U14" s="27">
        <v>44518</v>
      </c>
      <c r="V14" s="27" t="s">
        <v>74</v>
      </c>
      <c r="W14" s="5" t="s">
        <v>52</v>
      </c>
      <c r="X14" s="11">
        <v>0.875</v>
      </c>
      <c r="Y14" s="25" t="s">
        <v>43</v>
      </c>
      <c r="Z14" s="42">
        <v>0.5</v>
      </c>
      <c r="AA14" s="42">
        <v>0.2</v>
      </c>
      <c r="AB14" s="42">
        <v>0.2</v>
      </c>
      <c r="AC14" s="42">
        <v>0.1</v>
      </c>
    </row>
    <row r="15" spans="1:66" s="1" customFormat="1">
      <c r="A15" s="2" t="s">
        <v>75</v>
      </c>
      <c r="B15" s="2" t="s">
        <v>45</v>
      </c>
      <c r="C15" s="2" t="s">
        <v>76</v>
      </c>
      <c r="D15" s="2" t="s">
        <v>71</v>
      </c>
      <c r="E15" s="2" t="s">
        <v>77</v>
      </c>
      <c r="F15" s="2" t="s">
        <v>39</v>
      </c>
      <c r="G15" s="2" t="s">
        <v>40</v>
      </c>
      <c r="H15" s="21" t="s">
        <v>50</v>
      </c>
      <c r="I15" s="3">
        <v>1</v>
      </c>
      <c r="J15" s="3">
        <v>1</v>
      </c>
      <c r="K15" s="15">
        <v>1879000</v>
      </c>
      <c r="L15" s="8" t="s">
        <v>73</v>
      </c>
      <c r="M15" s="8" t="s">
        <v>42</v>
      </c>
      <c r="N15" s="6">
        <v>135</v>
      </c>
      <c r="O15" s="6">
        <v>108</v>
      </c>
      <c r="P15" s="24">
        <v>0.13500000000000001</v>
      </c>
      <c r="Q15" s="41">
        <f t="shared" si="1"/>
        <v>253665.00000000003</v>
      </c>
      <c r="R15" s="6">
        <f t="shared" si="3"/>
        <v>5073300.0000000009</v>
      </c>
      <c r="S15" s="5">
        <f t="shared" si="4"/>
        <v>46975</v>
      </c>
      <c r="T15" s="7">
        <f t="shared" si="5"/>
        <v>939500</v>
      </c>
      <c r="U15" s="27">
        <v>44518</v>
      </c>
      <c r="V15" s="27" t="s">
        <v>74</v>
      </c>
      <c r="W15" s="5" t="s">
        <v>52</v>
      </c>
      <c r="X15" s="11">
        <v>0.97499999999999998</v>
      </c>
      <c r="Y15" s="25" t="s">
        <v>43</v>
      </c>
      <c r="Z15" s="42">
        <v>0.5</v>
      </c>
      <c r="AA15" s="42">
        <v>0.2</v>
      </c>
      <c r="AB15" s="42">
        <v>0.2</v>
      </c>
      <c r="AC15" s="42">
        <v>0.1</v>
      </c>
    </row>
    <row r="16" spans="1:66">
      <c r="A16" s="2" t="s">
        <v>78</v>
      </c>
      <c r="B16" s="2" t="s">
        <v>45</v>
      </c>
      <c r="C16" s="2" t="s">
        <v>79</v>
      </c>
      <c r="D16" s="2" t="s">
        <v>80</v>
      </c>
      <c r="E16" s="2" t="s">
        <v>81</v>
      </c>
      <c r="F16" s="2" t="s">
        <v>49</v>
      </c>
      <c r="G16" s="2"/>
      <c r="H16" s="21" t="s">
        <v>50</v>
      </c>
      <c r="I16" s="3">
        <v>4</v>
      </c>
      <c r="J16" s="3">
        <v>4</v>
      </c>
      <c r="K16" s="4">
        <f>32587*1000</f>
        <v>32587000</v>
      </c>
      <c r="L16" s="8" t="s">
        <v>42</v>
      </c>
      <c r="M16" s="8" t="s">
        <v>73</v>
      </c>
      <c r="N16" s="16">
        <v>129.9</v>
      </c>
      <c r="O16" s="16">
        <v>103.92</v>
      </c>
      <c r="P16" s="24">
        <f t="shared" ref="P16:P24" si="6">N16/1000</f>
        <v>0.12990000000000002</v>
      </c>
      <c r="Q16" s="5">
        <f t="shared" ref="Q16" si="7">$K16*P16</f>
        <v>4233051.3000000007</v>
      </c>
      <c r="R16" s="6">
        <f t="shared" ref="R16:R21" si="8">Q16*20</f>
        <v>84661026.000000015</v>
      </c>
      <c r="S16" s="5">
        <f t="shared" ref="S16:S17" si="9">K16*0.025</f>
        <v>814675</v>
      </c>
      <c r="T16" s="7">
        <f t="shared" ref="T16" si="10">S16*20</f>
        <v>16293500</v>
      </c>
      <c r="U16" s="27">
        <v>44708</v>
      </c>
      <c r="V16" s="27" t="s">
        <v>82</v>
      </c>
      <c r="W16" s="5" t="s">
        <v>52</v>
      </c>
      <c r="X16" s="11">
        <v>4</v>
      </c>
      <c r="Y16" s="40">
        <v>0</v>
      </c>
      <c r="Z16" s="42">
        <v>0.5</v>
      </c>
      <c r="AA16" s="42">
        <v>0.2</v>
      </c>
      <c r="AB16" s="42">
        <v>0.2</v>
      </c>
      <c r="AC16" s="42">
        <v>0.1</v>
      </c>
      <c r="BN16"/>
    </row>
    <row r="17" spans="1:66">
      <c r="A17" s="2" t="s">
        <v>83</v>
      </c>
      <c r="B17" s="2" t="s">
        <v>45</v>
      </c>
      <c r="C17" s="2" t="s">
        <v>84</v>
      </c>
      <c r="D17" s="2" t="s">
        <v>85</v>
      </c>
      <c r="E17" s="2" t="s">
        <v>86</v>
      </c>
      <c r="F17" s="2" t="s">
        <v>49</v>
      </c>
      <c r="G17" s="2"/>
      <c r="H17" s="21" t="s">
        <v>63</v>
      </c>
      <c r="I17" s="3">
        <v>2.8</v>
      </c>
      <c r="J17" s="3">
        <v>1</v>
      </c>
      <c r="K17" s="4">
        <v>7884000</v>
      </c>
      <c r="L17" s="8" t="s">
        <v>42</v>
      </c>
      <c r="M17" s="8" t="s">
        <v>73</v>
      </c>
      <c r="N17" s="16">
        <v>135</v>
      </c>
      <c r="O17" s="16">
        <v>108</v>
      </c>
      <c r="P17" s="24">
        <f t="shared" si="6"/>
        <v>0.13500000000000001</v>
      </c>
      <c r="Q17" s="5">
        <f>$K17*P17</f>
        <v>1064340</v>
      </c>
      <c r="R17" s="6">
        <f t="shared" si="8"/>
        <v>21286800</v>
      </c>
      <c r="S17" s="5">
        <f t="shared" si="9"/>
        <v>197100</v>
      </c>
      <c r="T17" s="7">
        <f>S17*20</f>
        <v>3942000</v>
      </c>
      <c r="U17" s="27">
        <v>44708</v>
      </c>
      <c r="V17" s="27">
        <v>45868</v>
      </c>
      <c r="W17" s="5" t="s">
        <v>52</v>
      </c>
      <c r="X17" s="11">
        <v>0</v>
      </c>
      <c r="Y17" s="40">
        <f>J17</f>
        <v>1</v>
      </c>
      <c r="Z17" s="40"/>
      <c r="AA17" s="40"/>
      <c r="AB17" s="40"/>
      <c r="AC17" s="40"/>
      <c r="BN17"/>
    </row>
    <row r="18" spans="1:66">
      <c r="A18" s="2" t="s">
        <v>87</v>
      </c>
      <c r="B18" s="2" t="s">
        <v>35</v>
      </c>
      <c r="C18" s="2" t="s">
        <v>88</v>
      </c>
      <c r="D18" s="2" t="s">
        <v>89</v>
      </c>
      <c r="E18" s="2" t="s">
        <v>90</v>
      </c>
      <c r="F18" s="2" t="s">
        <v>49</v>
      </c>
      <c r="G18" s="2"/>
      <c r="H18" s="21" t="s">
        <v>41</v>
      </c>
      <c r="I18" s="3">
        <f>3996/1000</f>
        <v>3.996</v>
      </c>
      <c r="J18" s="3">
        <v>0</v>
      </c>
      <c r="K18" s="4">
        <v>0</v>
      </c>
      <c r="L18" s="8" t="s">
        <v>43</v>
      </c>
      <c r="M18" s="8" t="s">
        <v>43</v>
      </c>
      <c r="N18" s="16">
        <v>132</v>
      </c>
      <c r="O18" s="8" t="s">
        <v>43</v>
      </c>
      <c r="P18" s="24">
        <f t="shared" si="6"/>
        <v>0.13200000000000001</v>
      </c>
      <c r="Q18" s="5">
        <f>$K18*P18</f>
        <v>0</v>
      </c>
      <c r="R18" s="6">
        <f t="shared" si="8"/>
        <v>0</v>
      </c>
      <c r="S18" s="5">
        <v>0</v>
      </c>
      <c r="T18" s="7">
        <v>0</v>
      </c>
      <c r="U18" s="26" t="s">
        <v>43</v>
      </c>
      <c r="V18" s="26" t="s">
        <v>43</v>
      </c>
      <c r="W18" s="27" t="s">
        <v>43</v>
      </c>
      <c r="X18" s="11">
        <v>0</v>
      </c>
      <c r="Y18" s="40">
        <v>0</v>
      </c>
      <c r="Z18" s="40"/>
      <c r="AA18" s="40"/>
      <c r="AB18" s="40"/>
      <c r="AC18" s="40"/>
      <c r="BN18"/>
    </row>
    <row r="19" spans="1:66">
      <c r="A19" s="2" t="s">
        <v>91</v>
      </c>
      <c r="B19" s="2" t="s">
        <v>45</v>
      </c>
      <c r="C19" s="2" t="s">
        <v>92</v>
      </c>
      <c r="D19" s="2" t="s">
        <v>93</v>
      </c>
      <c r="E19" s="2" t="s">
        <v>94</v>
      </c>
      <c r="F19" s="2" t="s">
        <v>49</v>
      </c>
      <c r="G19" s="2"/>
      <c r="H19" s="2" t="s">
        <v>95</v>
      </c>
      <c r="I19" s="3">
        <v>3.996</v>
      </c>
      <c r="J19" s="3">
        <v>3.996</v>
      </c>
      <c r="K19" s="15">
        <f>30678*1000</f>
        <v>30678000</v>
      </c>
      <c r="L19" s="8" t="s">
        <v>42</v>
      </c>
      <c r="M19" s="8" t="s">
        <v>73</v>
      </c>
      <c r="N19" s="6">
        <v>130</v>
      </c>
      <c r="O19" s="16">
        <v>104</v>
      </c>
      <c r="P19" s="28">
        <f t="shared" si="6"/>
        <v>0.13</v>
      </c>
      <c r="Q19" s="5">
        <f>$K19*P19</f>
        <v>3988140</v>
      </c>
      <c r="R19" s="6">
        <f t="shared" si="8"/>
        <v>79762800</v>
      </c>
      <c r="S19" s="5">
        <f>K19*0.025</f>
        <v>766950</v>
      </c>
      <c r="T19" s="7">
        <f>S19*20</f>
        <v>15339000</v>
      </c>
      <c r="U19" s="27">
        <v>45084</v>
      </c>
      <c r="V19" s="27">
        <v>47265</v>
      </c>
      <c r="W19" s="5" t="s">
        <v>52</v>
      </c>
      <c r="X19" s="8" t="s">
        <v>43</v>
      </c>
      <c r="Y19" s="8" t="s">
        <v>43</v>
      </c>
      <c r="Z19" s="8"/>
      <c r="AA19" s="8"/>
      <c r="AB19" s="8"/>
      <c r="AC19" s="8"/>
      <c r="BN19"/>
    </row>
    <row r="20" spans="1:66">
      <c r="A20" s="2" t="s">
        <v>96</v>
      </c>
      <c r="B20" s="2" t="s">
        <v>45</v>
      </c>
      <c r="C20" s="2" t="s">
        <v>97</v>
      </c>
      <c r="D20" s="2" t="s">
        <v>98</v>
      </c>
      <c r="E20" s="2" t="s">
        <v>99</v>
      </c>
      <c r="F20" s="2" t="s">
        <v>39</v>
      </c>
      <c r="G20" s="2" t="s">
        <v>40</v>
      </c>
      <c r="H20" s="2" t="s">
        <v>95</v>
      </c>
      <c r="I20" s="3">
        <v>1</v>
      </c>
      <c r="J20" s="3">
        <v>1</v>
      </c>
      <c r="K20" s="15">
        <f>1676*1000</f>
        <v>1676000</v>
      </c>
      <c r="L20" s="8" t="s">
        <v>42</v>
      </c>
      <c r="M20" s="8" t="s">
        <v>73</v>
      </c>
      <c r="N20" s="6">
        <v>133</v>
      </c>
      <c r="O20" s="16">
        <v>106.4</v>
      </c>
      <c r="P20" s="28">
        <f t="shared" si="6"/>
        <v>0.13300000000000001</v>
      </c>
      <c r="Q20" s="5">
        <f>$K20*P20</f>
        <v>222908</v>
      </c>
      <c r="R20" s="6">
        <f t="shared" si="8"/>
        <v>4458160</v>
      </c>
      <c r="S20" s="5">
        <f>K20*0.025</f>
        <v>41900</v>
      </c>
      <c r="T20" s="7">
        <f>S20*20</f>
        <v>838000</v>
      </c>
      <c r="U20" s="27">
        <v>45084</v>
      </c>
      <c r="V20" s="27">
        <v>46545</v>
      </c>
      <c r="W20" s="5" t="s">
        <v>52</v>
      </c>
      <c r="X20" s="8" t="s">
        <v>43</v>
      </c>
      <c r="Y20" s="8" t="s">
        <v>43</v>
      </c>
      <c r="Z20" s="8"/>
      <c r="AA20" s="8"/>
      <c r="AB20" s="8"/>
      <c r="AC20" s="8"/>
    </row>
    <row r="21" spans="1:66">
      <c r="A21" s="2" t="s">
        <v>100</v>
      </c>
      <c r="B21" s="2" t="s">
        <v>35</v>
      </c>
      <c r="C21" s="2" t="s">
        <v>76</v>
      </c>
      <c r="D21" s="2" t="s">
        <v>101</v>
      </c>
      <c r="E21" s="2" t="s">
        <v>102</v>
      </c>
      <c r="F21" s="2" t="s">
        <v>49</v>
      </c>
      <c r="G21" s="2"/>
      <c r="H21" s="2" t="s">
        <v>41</v>
      </c>
      <c r="I21" s="3">
        <v>5</v>
      </c>
      <c r="J21" s="3">
        <v>0</v>
      </c>
      <c r="K21" s="15">
        <v>0</v>
      </c>
      <c r="L21" s="8" t="s">
        <v>43</v>
      </c>
      <c r="M21" s="8" t="s">
        <v>43</v>
      </c>
      <c r="N21" s="6">
        <v>168.75</v>
      </c>
      <c r="O21" s="8" t="s">
        <v>43</v>
      </c>
      <c r="P21" s="28">
        <f t="shared" si="6"/>
        <v>0.16875000000000001</v>
      </c>
      <c r="Q21" s="5">
        <f>K21*P21</f>
        <v>0</v>
      </c>
      <c r="R21" s="7">
        <f t="shared" si="8"/>
        <v>0</v>
      </c>
      <c r="S21" s="5">
        <v>0</v>
      </c>
      <c r="T21" s="7">
        <v>0</v>
      </c>
      <c r="U21" s="8" t="s">
        <v>43</v>
      </c>
      <c r="V21" s="8" t="s">
        <v>43</v>
      </c>
      <c r="W21" s="5" t="s">
        <v>43</v>
      </c>
      <c r="X21" s="11">
        <v>0</v>
      </c>
      <c r="Y21" s="40">
        <v>0</v>
      </c>
      <c r="Z21" s="40"/>
      <c r="AA21" s="40"/>
      <c r="AB21" s="40"/>
      <c r="AC21" s="40"/>
    </row>
    <row r="22" spans="1:66">
      <c r="A22" s="2" t="s">
        <v>103</v>
      </c>
      <c r="B22" s="2" t="s">
        <v>45</v>
      </c>
      <c r="C22" s="2" t="s">
        <v>104</v>
      </c>
      <c r="D22" s="2" t="s">
        <v>105</v>
      </c>
      <c r="E22" s="2" t="s">
        <v>106</v>
      </c>
      <c r="F22" s="2" t="s">
        <v>49</v>
      </c>
      <c r="G22" s="2"/>
      <c r="H22" s="2" t="s">
        <v>95</v>
      </c>
      <c r="I22" s="3">
        <v>4.9390000000000001</v>
      </c>
      <c r="J22" s="3">
        <f>I22</f>
        <v>4.9390000000000001</v>
      </c>
      <c r="K22" s="15">
        <f>32449.23*1000</f>
        <v>32449230</v>
      </c>
      <c r="L22" s="8" t="s">
        <v>42</v>
      </c>
      <c r="M22" s="8" t="s">
        <v>73</v>
      </c>
      <c r="N22" s="6">
        <v>133</v>
      </c>
      <c r="O22" s="16">
        <v>106.4</v>
      </c>
      <c r="P22" s="28">
        <f t="shared" si="6"/>
        <v>0.13300000000000001</v>
      </c>
      <c r="Q22" s="5">
        <f>$K22*P22</f>
        <v>4315747.59</v>
      </c>
      <c r="R22" s="7">
        <f>Q22*20</f>
        <v>86314951.799999997</v>
      </c>
      <c r="S22" s="29">
        <f>$K22*0.025</f>
        <v>811230.75</v>
      </c>
      <c r="T22" s="29">
        <f>S22*20</f>
        <v>16224615</v>
      </c>
      <c r="U22" s="27">
        <v>45436</v>
      </c>
      <c r="V22" s="27">
        <v>46022</v>
      </c>
      <c r="W22" s="5" t="s">
        <v>52</v>
      </c>
      <c r="X22" s="8" t="s">
        <v>43</v>
      </c>
      <c r="Y22" s="8" t="s">
        <v>43</v>
      </c>
      <c r="Z22" s="8"/>
      <c r="AA22" s="8"/>
      <c r="AB22" s="8"/>
      <c r="AC22" s="8"/>
    </row>
    <row r="23" spans="1:66">
      <c r="A23" s="2" t="s">
        <v>107</v>
      </c>
      <c r="B23" s="2" t="s">
        <v>45</v>
      </c>
      <c r="C23" s="2" t="s">
        <v>108</v>
      </c>
      <c r="D23" s="2" t="s">
        <v>71</v>
      </c>
      <c r="E23" s="2" t="s">
        <v>109</v>
      </c>
      <c r="F23" s="2" t="s">
        <v>39</v>
      </c>
      <c r="G23" s="2"/>
      <c r="H23" s="2" t="s">
        <v>95</v>
      </c>
      <c r="I23" s="3">
        <v>4.25</v>
      </c>
      <c r="J23" s="3">
        <f>I23</f>
        <v>4.25</v>
      </c>
      <c r="K23" s="15">
        <f>7695*1000</f>
        <v>7695000</v>
      </c>
      <c r="L23" s="8" t="s">
        <v>42</v>
      </c>
      <c r="M23" s="8" t="s">
        <v>42</v>
      </c>
      <c r="N23" s="6">
        <v>130</v>
      </c>
      <c r="O23" s="16">
        <v>130</v>
      </c>
      <c r="P23" s="28">
        <f t="shared" si="6"/>
        <v>0.13</v>
      </c>
      <c r="Q23" s="5">
        <f t="shared" ref="Q23:Q24" si="11">$K23*P23</f>
        <v>1000350</v>
      </c>
      <c r="R23" s="7">
        <f t="shared" ref="R23:R24" si="12">Q23*20</f>
        <v>20007000</v>
      </c>
      <c r="S23" s="29">
        <f t="shared" ref="S23:S24" si="13">$K23*0.025</f>
        <v>192375</v>
      </c>
      <c r="T23" s="29">
        <f t="shared" ref="T23:T24" si="14">S23*20</f>
        <v>3847500</v>
      </c>
      <c r="U23" s="27">
        <v>45436</v>
      </c>
      <c r="V23" s="27">
        <v>46508</v>
      </c>
      <c r="W23" s="5" t="s">
        <v>52</v>
      </c>
      <c r="X23" s="8" t="s">
        <v>43</v>
      </c>
      <c r="Y23" s="8" t="s">
        <v>43</v>
      </c>
      <c r="Z23" s="8"/>
      <c r="AA23" s="8"/>
      <c r="AB23" s="8"/>
      <c r="AC23" s="8"/>
    </row>
    <row r="24" spans="1:66">
      <c r="A24" s="2" t="s">
        <v>110</v>
      </c>
      <c r="B24" s="2" t="s">
        <v>45</v>
      </c>
      <c r="C24" s="2" t="s">
        <v>111</v>
      </c>
      <c r="D24" s="2" t="s">
        <v>60</v>
      </c>
      <c r="E24" s="2" t="s">
        <v>112</v>
      </c>
      <c r="F24" s="2" t="s">
        <v>39</v>
      </c>
      <c r="G24" s="2"/>
      <c r="H24" s="2" t="s">
        <v>95</v>
      </c>
      <c r="I24" s="3">
        <v>2</v>
      </c>
      <c r="J24" s="3">
        <f>I24</f>
        <v>2</v>
      </c>
      <c r="K24" s="15">
        <f>2960.88*1000</f>
        <v>2960880</v>
      </c>
      <c r="L24" s="8" t="s">
        <v>42</v>
      </c>
      <c r="M24" s="8" t="s">
        <v>42</v>
      </c>
      <c r="N24" s="6">
        <v>133</v>
      </c>
      <c r="O24" s="16">
        <v>133</v>
      </c>
      <c r="P24" s="28">
        <f t="shared" si="6"/>
        <v>0.13300000000000001</v>
      </c>
      <c r="Q24" s="5">
        <f t="shared" si="11"/>
        <v>393797.04000000004</v>
      </c>
      <c r="R24" s="7">
        <f t="shared" si="12"/>
        <v>7875940.8000000007</v>
      </c>
      <c r="S24" s="29">
        <f t="shared" si="13"/>
        <v>74022</v>
      </c>
      <c r="T24" s="29">
        <f t="shared" si="14"/>
        <v>1480440</v>
      </c>
      <c r="U24" s="27">
        <v>45436</v>
      </c>
      <c r="V24" s="27">
        <v>46203</v>
      </c>
      <c r="W24" s="5" t="s">
        <v>52</v>
      </c>
      <c r="X24" s="8" t="s">
        <v>43</v>
      </c>
      <c r="Y24" s="8" t="s">
        <v>43</v>
      </c>
      <c r="Z24" s="8"/>
      <c r="AA24" s="8"/>
      <c r="AB24" s="8"/>
      <c r="AC24" s="8"/>
    </row>
    <row r="25" spans="1:66">
      <c r="A25" s="2" t="s">
        <v>113</v>
      </c>
      <c r="B25" s="3" t="s">
        <v>45</v>
      </c>
      <c r="C25" s="3" t="s">
        <v>114</v>
      </c>
      <c r="D25" s="2" t="s">
        <v>115</v>
      </c>
      <c r="E25" s="2" t="s">
        <v>116</v>
      </c>
      <c r="F25" s="2" t="s">
        <v>39</v>
      </c>
      <c r="G25" s="2" t="s">
        <v>40</v>
      </c>
      <c r="H25" s="2" t="s">
        <v>95</v>
      </c>
      <c r="I25" s="3">
        <v>1.9</v>
      </c>
      <c r="J25" s="3">
        <v>1.9</v>
      </c>
      <c r="K25" s="15">
        <v>3899853</v>
      </c>
      <c r="L25" s="8" t="s">
        <v>42</v>
      </c>
      <c r="M25" s="8" t="s">
        <v>42</v>
      </c>
      <c r="N25" s="6">
        <v>125</v>
      </c>
      <c r="O25" s="16">
        <v>125</v>
      </c>
      <c r="P25" s="28">
        <f t="shared" ref="P25:P26" si="15">N25/1000</f>
        <v>0.125</v>
      </c>
      <c r="Q25" s="5">
        <f t="shared" ref="Q25:Q31" si="16">$K25*P25</f>
        <v>487481.625</v>
      </c>
      <c r="R25" s="7">
        <f t="shared" ref="R25:R31" si="17">Q25*20</f>
        <v>9749632.5</v>
      </c>
      <c r="S25" s="29">
        <f t="shared" ref="S25:S31" si="18">$K25*0.025</f>
        <v>97496.325000000012</v>
      </c>
      <c r="T25" s="29">
        <f t="shared" ref="T25:T31" si="19">S25*20</f>
        <v>1949926.5000000002</v>
      </c>
      <c r="U25" s="27">
        <v>45845</v>
      </c>
      <c r="V25" s="27">
        <v>46022</v>
      </c>
      <c r="W25" s="5" t="s">
        <v>52</v>
      </c>
      <c r="X25" s="8">
        <v>0</v>
      </c>
      <c r="Y25" s="8">
        <v>0</v>
      </c>
      <c r="Z25" s="8"/>
      <c r="AA25" s="8"/>
      <c r="AB25" s="8"/>
      <c r="AC25" s="8"/>
      <c r="BM25" s="17"/>
      <c r="BN25"/>
    </row>
    <row r="26" spans="1:66">
      <c r="A26" s="2" t="s">
        <v>117</v>
      </c>
      <c r="B26" s="3" t="s">
        <v>45</v>
      </c>
      <c r="C26" s="3" t="s">
        <v>118</v>
      </c>
      <c r="D26" s="2" t="s">
        <v>115</v>
      </c>
      <c r="E26" s="2" t="s">
        <v>119</v>
      </c>
      <c r="F26" s="2" t="s">
        <v>39</v>
      </c>
      <c r="G26" s="2" t="s">
        <v>40</v>
      </c>
      <c r="H26" s="2" t="s">
        <v>95</v>
      </c>
      <c r="I26" s="3">
        <v>1.92</v>
      </c>
      <c r="J26" s="3">
        <f>I26</f>
        <v>1.92</v>
      </c>
      <c r="K26" s="15">
        <f>1000*3118.28</f>
        <v>3118280</v>
      </c>
      <c r="L26" s="8" t="s">
        <v>42</v>
      </c>
      <c r="M26" s="8" t="s">
        <v>42</v>
      </c>
      <c r="N26" s="6">
        <v>221.63</v>
      </c>
      <c r="O26" s="16">
        <v>132.99</v>
      </c>
      <c r="P26" s="28">
        <f t="shared" si="15"/>
        <v>0.22162999999999999</v>
      </c>
      <c r="Q26" s="5">
        <f t="shared" si="16"/>
        <v>691104.39639999997</v>
      </c>
      <c r="R26" s="7">
        <f t="shared" si="17"/>
        <v>13822087.927999999</v>
      </c>
      <c r="S26" s="29">
        <f t="shared" si="18"/>
        <v>77957</v>
      </c>
      <c r="T26" s="29">
        <f t="shared" si="19"/>
        <v>1559140</v>
      </c>
      <c r="U26" s="27">
        <v>45980</v>
      </c>
      <c r="V26" s="27">
        <v>46736</v>
      </c>
      <c r="W26" s="5" t="s">
        <v>52</v>
      </c>
      <c r="X26" s="8">
        <v>0</v>
      </c>
      <c r="Y26" s="8">
        <v>0</v>
      </c>
      <c r="Z26" s="8"/>
      <c r="AA26" s="8"/>
      <c r="AB26" s="8"/>
      <c r="AC26" s="8"/>
      <c r="BM26" s="17"/>
      <c r="BN26"/>
    </row>
    <row r="27" spans="1:66">
      <c r="A27" s="2" t="s">
        <v>120</v>
      </c>
      <c r="B27" s="3" t="s">
        <v>45</v>
      </c>
      <c r="C27" s="3" t="s">
        <v>121</v>
      </c>
      <c r="D27" s="2" t="s">
        <v>89</v>
      </c>
      <c r="E27" s="2" t="s">
        <v>122</v>
      </c>
      <c r="F27" s="2" t="s">
        <v>49</v>
      </c>
      <c r="G27" s="2"/>
      <c r="H27" s="2" t="s">
        <v>95</v>
      </c>
      <c r="I27" s="3">
        <v>4.9390000000000001</v>
      </c>
      <c r="J27" s="3">
        <f>I27</f>
        <v>4.9390000000000001</v>
      </c>
      <c r="K27" s="15">
        <f>31770*1000</f>
        <v>31770000</v>
      </c>
      <c r="L27" s="8" t="s">
        <v>42</v>
      </c>
      <c r="M27" s="8" t="s">
        <v>42</v>
      </c>
      <c r="N27" s="6">
        <v>132.99</v>
      </c>
      <c r="O27" s="16">
        <v>132.99</v>
      </c>
      <c r="P27" s="28">
        <f>N27/1000</f>
        <v>0.13299</v>
      </c>
      <c r="Q27" s="5">
        <f t="shared" si="16"/>
        <v>4225092.3</v>
      </c>
      <c r="R27" s="7">
        <f t="shared" si="17"/>
        <v>84501846</v>
      </c>
      <c r="S27" s="29">
        <f t="shared" si="18"/>
        <v>794250</v>
      </c>
      <c r="T27" s="29">
        <f t="shared" si="19"/>
        <v>15885000</v>
      </c>
      <c r="U27" s="27">
        <v>45980</v>
      </c>
      <c r="V27" s="27">
        <v>47027</v>
      </c>
      <c r="W27" s="5" t="s">
        <v>52</v>
      </c>
      <c r="X27" s="8">
        <v>0</v>
      </c>
      <c r="Y27" s="8">
        <v>0</v>
      </c>
      <c r="Z27" s="8"/>
      <c r="AA27" s="8"/>
      <c r="AB27" s="8"/>
      <c r="AC27" s="8"/>
      <c r="BM27" s="17"/>
      <c r="BN27"/>
    </row>
    <row r="28" spans="1:66">
      <c r="A28" s="2" t="s">
        <v>123</v>
      </c>
      <c r="B28" s="3" t="s">
        <v>35</v>
      </c>
      <c r="C28" s="3" t="s">
        <v>124</v>
      </c>
      <c r="D28" s="2" t="s">
        <v>125</v>
      </c>
      <c r="E28" s="2" t="s">
        <v>126</v>
      </c>
      <c r="F28" s="2" t="s">
        <v>39</v>
      </c>
      <c r="G28" s="2" t="s">
        <v>40</v>
      </c>
      <c r="H28" s="2" t="s">
        <v>41</v>
      </c>
      <c r="I28" s="3">
        <v>1</v>
      </c>
      <c r="J28" s="3">
        <v>0</v>
      </c>
      <c r="K28" s="15">
        <v>0</v>
      </c>
      <c r="L28" s="8" t="s">
        <v>42</v>
      </c>
      <c r="M28" s="8" t="s">
        <v>42</v>
      </c>
      <c r="N28" s="6">
        <v>132.99</v>
      </c>
      <c r="O28" s="16" t="s">
        <v>43</v>
      </c>
      <c r="P28" s="28">
        <f t="shared" ref="P28:P35" si="20">N28/1000</f>
        <v>0.13299</v>
      </c>
      <c r="Q28" s="5">
        <f t="shared" si="16"/>
        <v>0</v>
      </c>
      <c r="R28" s="7">
        <f t="shared" si="17"/>
        <v>0</v>
      </c>
      <c r="S28" s="29">
        <f t="shared" si="18"/>
        <v>0</v>
      </c>
      <c r="T28" s="29">
        <f t="shared" si="19"/>
        <v>0</v>
      </c>
      <c r="U28" s="27" t="s">
        <v>43</v>
      </c>
      <c r="V28" s="27" t="s">
        <v>43</v>
      </c>
      <c r="W28" s="5" t="s">
        <v>43</v>
      </c>
      <c r="X28" s="8" t="s">
        <v>43</v>
      </c>
      <c r="Y28" s="8" t="s">
        <v>43</v>
      </c>
      <c r="Z28" s="8"/>
      <c r="AA28" s="8"/>
      <c r="AB28" s="8"/>
      <c r="AC28" s="8"/>
      <c r="BM28" s="17"/>
      <c r="BN28"/>
    </row>
    <row r="29" spans="1:66">
      <c r="A29" s="2" t="s">
        <v>127</v>
      </c>
      <c r="B29" s="3" t="s">
        <v>35</v>
      </c>
      <c r="C29" s="3" t="s">
        <v>128</v>
      </c>
      <c r="D29" s="2" t="s">
        <v>125</v>
      </c>
      <c r="E29" s="2" t="s">
        <v>129</v>
      </c>
      <c r="F29" s="2" t="s">
        <v>39</v>
      </c>
      <c r="G29" s="2" t="s">
        <v>40</v>
      </c>
      <c r="H29" s="2" t="s">
        <v>41</v>
      </c>
      <c r="I29" s="3">
        <v>2</v>
      </c>
      <c r="J29" s="3">
        <v>0</v>
      </c>
      <c r="K29" s="15">
        <v>0</v>
      </c>
      <c r="L29" s="8" t="s">
        <v>42</v>
      </c>
      <c r="M29" s="8" t="s">
        <v>42</v>
      </c>
      <c r="N29" s="6">
        <v>132.99</v>
      </c>
      <c r="O29" s="16" t="s">
        <v>43</v>
      </c>
      <c r="P29" s="28">
        <f t="shared" si="20"/>
        <v>0.13299</v>
      </c>
      <c r="Q29" s="5">
        <f t="shared" si="16"/>
        <v>0</v>
      </c>
      <c r="R29" s="7">
        <f t="shared" si="17"/>
        <v>0</v>
      </c>
      <c r="S29" s="29">
        <f t="shared" si="18"/>
        <v>0</v>
      </c>
      <c r="T29" s="29">
        <f t="shared" si="19"/>
        <v>0</v>
      </c>
      <c r="U29" s="27" t="s">
        <v>43</v>
      </c>
      <c r="V29" s="27" t="s">
        <v>43</v>
      </c>
      <c r="W29" s="5" t="s">
        <v>43</v>
      </c>
      <c r="X29" s="8" t="s">
        <v>43</v>
      </c>
      <c r="Y29" s="8" t="s">
        <v>43</v>
      </c>
      <c r="Z29" s="8"/>
      <c r="AA29" s="8"/>
      <c r="AB29" s="8"/>
      <c r="AC29" s="8"/>
      <c r="BM29" s="17"/>
      <c r="BN29"/>
    </row>
    <row r="30" spans="1:66">
      <c r="A30" s="2" t="s">
        <v>130</v>
      </c>
      <c r="B30" s="3" t="s">
        <v>35</v>
      </c>
      <c r="C30" s="3" t="s">
        <v>131</v>
      </c>
      <c r="D30" s="2" t="s">
        <v>125</v>
      </c>
      <c r="E30" s="2" t="s">
        <v>132</v>
      </c>
      <c r="F30" s="2" t="s">
        <v>39</v>
      </c>
      <c r="G30" s="2" t="s">
        <v>40</v>
      </c>
      <c r="H30" s="2" t="s">
        <v>41</v>
      </c>
      <c r="I30" s="3">
        <v>2</v>
      </c>
      <c r="J30" s="3">
        <v>0</v>
      </c>
      <c r="K30" s="15">
        <v>0</v>
      </c>
      <c r="L30" s="8" t="s">
        <v>42</v>
      </c>
      <c r="M30" s="8" t="s">
        <v>42</v>
      </c>
      <c r="N30" s="6">
        <v>132.99</v>
      </c>
      <c r="O30" s="16" t="s">
        <v>43</v>
      </c>
      <c r="P30" s="28">
        <f t="shared" si="20"/>
        <v>0.13299</v>
      </c>
      <c r="Q30" s="5">
        <f t="shared" si="16"/>
        <v>0</v>
      </c>
      <c r="R30" s="7">
        <f t="shared" si="17"/>
        <v>0</v>
      </c>
      <c r="S30" s="29">
        <f t="shared" si="18"/>
        <v>0</v>
      </c>
      <c r="T30" s="29">
        <f t="shared" si="19"/>
        <v>0</v>
      </c>
      <c r="U30" s="27" t="s">
        <v>43</v>
      </c>
      <c r="V30" s="27" t="s">
        <v>43</v>
      </c>
      <c r="W30" s="5" t="s">
        <v>43</v>
      </c>
      <c r="X30" s="8" t="s">
        <v>43</v>
      </c>
      <c r="Y30" s="8" t="s">
        <v>43</v>
      </c>
      <c r="Z30" s="8"/>
      <c r="AA30" s="8"/>
      <c r="AB30" s="8"/>
      <c r="AC30" s="8"/>
      <c r="BM30" s="17"/>
      <c r="BN30"/>
    </row>
    <row r="31" spans="1:66">
      <c r="A31" s="2" t="s">
        <v>133</v>
      </c>
      <c r="B31" s="3" t="s">
        <v>35</v>
      </c>
      <c r="C31" s="3" t="s">
        <v>134</v>
      </c>
      <c r="D31" s="2" t="s">
        <v>125</v>
      </c>
      <c r="E31" s="2" t="s">
        <v>135</v>
      </c>
      <c r="F31" s="2" t="s">
        <v>39</v>
      </c>
      <c r="G31" s="2" t="s">
        <v>40</v>
      </c>
      <c r="H31" s="2" t="s">
        <v>41</v>
      </c>
      <c r="I31" s="3">
        <v>2</v>
      </c>
      <c r="J31" s="3">
        <v>0</v>
      </c>
      <c r="K31" s="15">
        <v>0</v>
      </c>
      <c r="L31" s="8" t="s">
        <v>42</v>
      </c>
      <c r="M31" s="8" t="s">
        <v>42</v>
      </c>
      <c r="N31" s="6">
        <v>132.99</v>
      </c>
      <c r="O31" s="16" t="s">
        <v>43</v>
      </c>
      <c r="P31" s="28">
        <f t="shared" si="20"/>
        <v>0.13299</v>
      </c>
      <c r="Q31" s="5">
        <f t="shared" si="16"/>
        <v>0</v>
      </c>
      <c r="R31" s="7">
        <f t="shared" si="17"/>
        <v>0</v>
      </c>
      <c r="S31" s="29">
        <f t="shared" si="18"/>
        <v>0</v>
      </c>
      <c r="T31" s="29">
        <f t="shared" si="19"/>
        <v>0</v>
      </c>
      <c r="U31" s="27" t="s">
        <v>43</v>
      </c>
      <c r="V31" s="27" t="s">
        <v>43</v>
      </c>
      <c r="W31" s="5" t="s">
        <v>43</v>
      </c>
      <c r="X31" s="8" t="s">
        <v>43</v>
      </c>
      <c r="Y31" s="8" t="s">
        <v>43</v>
      </c>
      <c r="Z31" s="8"/>
      <c r="AA31" s="8"/>
      <c r="AB31" s="8"/>
      <c r="AC31" s="8"/>
      <c r="BM31" s="17"/>
      <c r="BN31"/>
    </row>
    <row r="32" spans="1:66">
      <c r="A32" s="2" t="s">
        <v>136</v>
      </c>
      <c r="B32" s="3" t="s">
        <v>45</v>
      </c>
      <c r="C32" s="3" t="s">
        <v>137</v>
      </c>
      <c r="D32" s="2" t="s">
        <v>115</v>
      </c>
      <c r="E32" s="2" t="s">
        <v>138</v>
      </c>
      <c r="F32" s="2" t="s">
        <v>39</v>
      </c>
      <c r="G32" s="2" t="s">
        <v>40</v>
      </c>
      <c r="H32" s="2" t="s">
        <v>95</v>
      </c>
      <c r="I32" s="3">
        <v>1.5</v>
      </c>
      <c r="J32" s="3">
        <v>1.5</v>
      </c>
      <c r="K32" s="15">
        <v>2419075</v>
      </c>
      <c r="L32" s="8" t="s">
        <v>42</v>
      </c>
      <c r="M32" s="8" t="s">
        <v>42</v>
      </c>
      <c r="N32" s="6">
        <v>181.89</v>
      </c>
      <c r="O32" s="16">
        <f>N32</f>
        <v>181.89</v>
      </c>
      <c r="P32" s="28">
        <f t="shared" si="20"/>
        <v>0.18189</v>
      </c>
      <c r="Q32" s="5">
        <v>440005.55174999993</v>
      </c>
      <c r="R32" s="7">
        <f>Q32*20</f>
        <v>8800111.0349999983</v>
      </c>
      <c r="S32" s="29">
        <v>60476.875</v>
      </c>
      <c r="T32" s="29">
        <f>S32*20</f>
        <v>1209537.5</v>
      </c>
      <c r="U32" s="27">
        <v>46199</v>
      </c>
      <c r="V32" s="27">
        <v>47243</v>
      </c>
      <c r="W32" s="5" t="s">
        <v>52</v>
      </c>
      <c r="X32" s="8">
        <v>0</v>
      </c>
      <c r="Y32" s="8">
        <v>0</v>
      </c>
      <c r="Z32" s="8"/>
      <c r="AA32" s="8"/>
      <c r="AB32" s="8"/>
      <c r="AC32" s="8"/>
      <c r="BM32" s="17"/>
      <c r="BN32"/>
    </row>
    <row r="33" spans="1:66">
      <c r="A33" s="2" t="s">
        <v>139</v>
      </c>
      <c r="B33" s="3" t="s">
        <v>35</v>
      </c>
      <c r="C33" s="3" t="s">
        <v>140</v>
      </c>
      <c r="D33" s="2" t="s">
        <v>125</v>
      </c>
      <c r="E33" s="2" t="s">
        <v>141</v>
      </c>
      <c r="F33" s="2" t="s">
        <v>39</v>
      </c>
      <c r="G33" s="2" t="s">
        <v>40</v>
      </c>
      <c r="H33" s="2" t="s">
        <v>41</v>
      </c>
      <c r="I33" s="3">
        <v>3</v>
      </c>
      <c r="J33" s="3">
        <v>0</v>
      </c>
      <c r="K33" s="15">
        <v>0</v>
      </c>
      <c r="L33" s="8" t="s">
        <v>43</v>
      </c>
      <c r="M33" s="8" t="s">
        <v>43</v>
      </c>
      <c r="N33" s="6">
        <v>182.93</v>
      </c>
      <c r="O33" s="16" t="s">
        <v>43</v>
      </c>
      <c r="P33" s="28">
        <f t="shared" si="20"/>
        <v>0.18293000000000001</v>
      </c>
      <c r="Q33" s="5">
        <v>0</v>
      </c>
      <c r="R33" s="7">
        <f t="shared" ref="R33:R35" si="21">Q33*20</f>
        <v>0</v>
      </c>
      <c r="S33" s="29">
        <v>0</v>
      </c>
      <c r="T33" s="29">
        <f t="shared" ref="T33:T35" si="22">S33*20</f>
        <v>0</v>
      </c>
      <c r="U33" s="27" t="s">
        <v>43</v>
      </c>
      <c r="V33" s="27" t="s">
        <v>43</v>
      </c>
      <c r="W33" s="5" t="s">
        <v>43</v>
      </c>
      <c r="X33" s="8" t="s">
        <v>43</v>
      </c>
      <c r="Y33" s="8" t="s">
        <v>43</v>
      </c>
      <c r="Z33" s="8"/>
      <c r="AA33" s="8"/>
      <c r="AB33" s="8"/>
      <c r="AC33" s="8"/>
      <c r="BM33" s="17"/>
      <c r="BN33"/>
    </row>
    <row r="34" spans="1:66">
      <c r="A34" s="2" t="s">
        <v>142</v>
      </c>
      <c r="B34" s="3" t="s">
        <v>45</v>
      </c>
      <c r="C34" s="3" t="s">
        <v>143</v>
      </c>
      <c r="D34" s="2" t="s">
        <v>125</v>
      </c>
      <c r="E34" s="2" t="s">
        <v>144</v>
      </c>
      <c r="F34" s="2" t="s">
        <v>39</v>
      </c>
      <c r="G34" s="2" t="s">
        <v>40</v>
      </c>
      <c r="H34" s="2" t="s">
        <v>95</v>
      </c>
      <c r="I34" s="3">
        <v>4.99</v>
      </c>
      <c r="J34" s="3">
        <v>4.99</v>
      </c>
      <c r="K34" s="15">
        <v>10359839</v>
      </c>
      <c r="L34" s="8" t="s">
        <v>42</v>
      </c>
      <c r="M34" s="8" t="s">
        <v>42</v>
      </c>
      <c r="N34" s="6">
        <v>182.93</v>
      </c>
      <c r="O34" s="16">
        <f>N34</f>
        <v>182.93</v>
      </c>
      <c r="P34" s="28">
        <f t="shared" si="20"/>
        <v>0.18293000000000001</v>
      </c>
      <c r="Q34" s="5">
        <v>1895125.34827</v>
      </c>
      <c r="R34" s="7">
        <f t="shared" si="21"/>
        <v>37902506.965399995</v>
      </c>
      <c r="S34" s="29">
        <v>258995.97500000001</v>
      </c>
      <c r="T34" s="29">
        <f t="shared" si="22"/>
        <v>5179919.5</v>
      </c>
      <c r="U34" s="27">
        <v>46199</v>
      </c>
      <c r="V34" s="27">
        <v>47268</v>
      </c>
      <c r="W34" s="5" t="s">
        <v>52</v>
      </c>
      <c r="X34" s="8">
        <v>0</v>
      </c>
      <c r="Y34" s="8">
        <v>0</v>
      </c>
      <c r="Z34" s="8"/>
      <c r="AA34" s="8"/>
      <c r="AB34" s="8"/>
      <c r="AC34" s="8"/>
      <c r="BM34" s="17"/>
      <c r="BN34"/>
    </row>
    <row r="35" spans="1:66">
      <c r="A35" s="2" t="s">
        <v>145</v>
      </c>
      <c r="B35" s="3" t="s">
        <v>45</v>
      </c>
      <c r="C35" s="3" t="s">
        <v>146</v>
      </c>
      <c r="D35" s="2" t="s">
        <v>125</v>
      </c>
      <c r="E35" s="2" t="s">
        <v>126</v>
      </c>
      <c r="F35" s="2" t="s">
        <v>39</v>
      </c>
      <c r="G35" s="2" t="s">
        <v>40</v>
      </c>
      <c r="H35" s="2" t="s">
        <v>95</v>
      </c>
      <c r="I35" s="3">
        <v>1</v>
      </c>
      <c r="J35" s="3">
        <v>1</v>
      </c>
      <c r="K35" s="15">
        <v>2042832</v>
      </c>
      <c r="L35" s="8" t="s">
        <v>42</v>
      </c>
      <c r="M35" s="8" t="s">
        <v>42</v>
      </c>
      <c r="N35" s="6">
        <v>182.93</v>
      </c>
      <c r="O35" s="16">
        <f>N35</f>
        <v>182.93</v>
      </c>
      <c r="P35" s="28">
        <f t="shared" si="20"/>
        <v>0.18293000000000001</v>
      </c>
      <c r="Q35" s="5">
        <v>373695.25776000001</v>
      </c>
      <c r="R35" s="7">
        <f t="shared" si="21"/>
        <v>7473905.1551999999</v>
      </c>
      <c r="S35" s="29">
        <v>51070.8</v>
      </c>
      <c r="T35" s="29">
        <f t="shared" si="22"/>
        <v>1021416</v>
      </c>
      <c r="U35" s="27">
        <v>46199</v>
      </c>
      <c r="V35" s="27">
        <v>46387</v>
      </c>
      <c r="W35" s="5" t="s">
        <v>52</v>
      </c>
      <c r="X35" s="8">
        <v>0</v>
      </c>
      <c r="Y35" s="8">
        <v>0</v>
      </c>
      <c r="Z35" s="8"/>
      <c r="AA35" s="8"/>
      <c r="AB35" s="8"/>
      <c r="AC35" s="8"/>
      <c r="BM35" s="17"/>
      <c r="BN35"/>
    </row>
    <row r="36" spans="1:66">
      <c r="B36" s="30"/>
      <c r="C36" s="30"/>
      <c r="I36" s="30"/>
      <c r="J36" s="30"/>
      <c r="K36" s="31"/>
      <c r="L36" s="32"/>
      <c r="M36" s="32"/>
      <c r="N36" s="33"/>
      <c r="O36" s="34"/>
      <c r="P36" s="35"/>
      <c r="Q36" s="36"/>
      <c r="R36" s="37"/>
      <c r="S36" s="38"/>
      <c r="T36" s="38"/>
      <c r="U36" s="39"/>
      <c r="V36" s="39"/>
      <c r="W36" s="36"/>
      <c r="BM36" s="17"/>
      <c r="BN36"/>
    </row>
    <row r="37" spans="1:66">
      <c r="A37" t="s">
        <v>147</v>
      </c>
      <c r="K37" s="31"/>
    </row>
    <row r="38" spans="1:66">
      <c r="A38" s="43" t="s">
        <v>148</v>
      </c>
      <c r="B38" s="43"/>
      <c r="C38" s="43"/>
      <c r="D38" s="43"/>
      <c r="E38" s="43"/>
    </row>
  </sheetData>
  <autoFilter ref="A7:BO35" xr:uid="{BEF10B8E-40CC-47CA-9071-2E91C22E921A}"/>
  <mergeCells count="1">
    <mergeCell ref="A38:E38"/>
  </mergeCells>
  <conditionalFormatting sqref="A38">
    <cfRule type="expression" dxfId="8" priority="45">
      <formula>$L19="Disqualified"</formula>
    </cfRule>
  </conditionalFormatting>
  <conditionalFormatting sqref="A8:F18 K8:K18 X8:AC18 J8:J21 N18:N24 O18:O25 I18:I36 F19:F24 A19:C36 G20:H20 X20:AC21 L25:N25 F25:G37 L26:O36">
    <cfRule type="expression" dxfId="7" priority="21">
      <formula>$L8="Disqualified"</formula>
    </cfRule>
  </conditionalFormatting>
  <conditionalFormatting sqref="D26:D27">
    <cfRule type="expression" dxfId="6" priority="3">
      <formula>$B26="Disqualified"</formula>
    </cfRule>
  </conditionalFormatting>
  <conditionalFormatting sqref="G18:H18">
    <cfRule type="expression" dxfId="5" priority="15">
      <formula>$L18="Disqualified"</formula>
    </cfRule>
  </conditionalFormatting>
  <conditionalFormatting sqref="G8:I17">
    <cfRule type="expression" dxfId="4" priority="20">
      <formula>$L8="Disqualified"</formula>
    </cfRule>
  </conditionalFormatting>
  <conditionalFormatting sqref="L8:M24">
    <cfRule type="expression" dxfId="3" priority="18">
      <formula>$L8="Disqualified"</formula>
    </cfRule>
  </conditionalFormatting>
  <conditionalFormatting sqref="N8:O11">
    <cfRule type="expression" dxfId="2" priority="25">
      <formula>$L8="Disqualified"</formula>
    </cfRule>
  </conditionalFormatting>
  <conditionalFormatting sqref="N16:O17">
    <cfRule type="expression" dxfId="1" priority="44">
      <formula>$L16="Disqualified"</formula>
    </cfRule>
  </conditionalFormatting>
  <conditionalFormatting sqref="N12:P15">
    <cfRule type="expression" dxfId="0" priority="16">
      <formula>$L12="Disqualified"</formula>
    </cfRule>
  </conditionalFormatting>
  <printOptions horizontalCentered="1"/>
  <pageMargins left="0.23958333333333334" right="0.25" top="1.25" bottom="0.5" header="0.5" footer="0.3"/>
  <pageSetup paperSize="5" scale="32" fitToHeight="0" orientation="landscape" r:id="rId1"/>
  <headerFooter>
    <oddHeader>&amp;L&amp;"-,Bold"The United Illuminating Company
Docket No. 25-08-04&amp;C&amp;"-,Bold"Attachment 1
Order No. 11 from Docket #25-08-04&amp;R&amp;"-,Bold"Page 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6A622-6A40-41D4-8F5D-38F53CFADDE0}"/>
</file>

<file path=customXml/itemProps2.xml><?xml version="1.0" encoding="utf-8"?>
<ds:datastoreItem xmlns:ds="http://schemas.openxmlformats.org/officeDocument/2006/customXml" ds:itemID="{6BD17F9F-AA0C-4543-9C53-54A4FDFC3E9C}"/>
</file>

<file path=customXml/itemProps3.xml><?xml version="1.0" encoding="utf-8"?>
<ds:datastoreItem xmlns:ds="http://schemas.openxmlformats.org/officeDocument/2006/customXml" ds:itemID="{E95162D4-D0CA-42A0-BF71-49524094F7DF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E Perbeck</dc:creator>
  <cp:keywords/>
  <dc:description/>
  <cp:lastModifiedBy/>
  <cp:revision/>
  <dcterms:created xsi:type="dcterms:W3CDTF">2020-10-22T18:26:58Z</dcterms:created>
  <dcterms:modified xsi:type="dcterms:W3CDTF">2026-08-12T15:31:31Z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2021-07-12T19:17:24Z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32992da9-bd7f-44d2-96ff-8c78b2f6dab4</vt:lpwstr>
  </property>
  <property fmtid="{D5CDD505-2E9C-101B-9397-08002B2CF9AE}" pid="9" name="MSIP_Label_624b1752-a977-4927-b9e6-e48a43684aee_ContentBits">
    <vt:lpwstr>0</vt:lpwstr>
  </property>
</Properties>
</file>