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versourceenergy.sharepoint.com/teams/ES-UISharedNRESTeam/Shared Documents/General/NRES/Year 5/Motion 11 Documents Refile/"/>
    </mc:Choice>
  </mc:AlternateContent>
  <xr:revisionPtr revIDLastSave="0" documentId="8_{ACCADC41-4AF9-4CDD-9532-1CDAFFCE988A}" xr6:coauthVersionLast="47" xr6:coauthVersionMax="47" xr10:uidLastSave="{00000000-0000-0000-0000-000000000000}"/>
  <workbookProtection workbookAlgorithmName="SHA-512" workbookHashValue="zPWuIt51vTNUpUmmPGd1gJZHFhGdtfS9/MMXyzRdkGTMpZWPyDVXoSj+s0EBNiSsnfaWj5k5Fq9aB4iiBsrvNQ==" workbookSaltValue="lvJiVTg4ZU1/ivd1B3xGQw==" workbookSpinCount="100000" lockStructure="1"/>
  <bookViews>
    <workbookView xWindow="-120" yWindow="-120" windowWidth="29040" windowHeight="15720" firstSheet="4" activeTab="4" xr2:uid="{14087EAC-D322-4B6C-96B5-CAE19DE848B4}"/>
  </bookViews>
  <sheets>
    <sheet name="Calculator" sheetId="1" r:id="rId1"/>
    <sheet name="Calculation Sheet" sheetId="2" r:id="rId2"/>
    <sheet name="CL&amp;P Avoided Pricing" sheetId="3" r:id="rId3"/>
    <sheet name="UI Avoided Pricing" sheetId="5" r:id="rId4"/>
    <sheet name="UI Price Caps" sheetId="6" r:id="rId5"/>
    <sheet name="ES Price Caps" sheetId="7" r:id="rId6"/>
  </sheets>
  <definedNames>
    <definedName name="Discount_Rate">'Calculation Sheet'!$B$2</definedName>
    <definedName name="ESRATES">'Calculation Sheet'!$A$10:$A$24</definedName>
    <definedName name="Retail_Rate_Escalation">'Calculation Sheet'!$B$1</definedName>
    <definedName name="UIRates">'Calculation Sheet'!$E$10:$E$18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6" l="1"/>
  <c r="H6" i="6"/>
  <c r="B43" i="7"/>
  <c r="D69" i="7"/>
  <c r="D68" i="7"/>
  <c r="D67" i="7"/>
  <c r="D66" i="7"/>
  <c r="D65" i="7"/>
  <c r="D64" i="7"/>
  <c r="D63" i="7"/>
  <c r="D62" i="7"/>
  <c r="D58" i="7"/>
  <c r="D57" i="7"/>
  <c r="D56" i="7"/>
  <c r="D55" i="7"/>
  <c r="C69" i="7"/>
  <c r="C68" i="7"/>
  <c r="C67" i="7"/>
  <c r="C66" i="7"/>
  <c r="C65" i="7"/>
  <c r="C64" i="7"/>
  <c r="C63" i="7"/>
  <c r="C62" i="7"/>
  <c r="C57" i="7" l="1"/>
  <c r="C56" i="7"/>
  <c r="C55" i="7"/>
  <c r="B69" i="7"/>
  <c r="B68" i="7"/>
  <c r="B67" i="7"/>
  <c r="B66" i="7"/>
  <c r="B64" i="7"/>
  <c r="B63" i="7"/>
  <c r="B62" i="7"/>
  <c r="B57" i="7"/>
  <c r="B56" i="7"/>
  <c r="B55" i="7"/>
  <c r="F4" i="7"/>
  <c r="F3" i="7"/>
  <c r="D47" i="7"/>
  <c r="D46" i="7"/>
  <c r="D45" i="7"/>
  <c r="D44" i="7"/>
  <c r="D42" i="7"/>
  <c r="D41" i="7"/>
  <c r="D40" i="7"/>
  <c r="B47" i="7"/>
  <c r="B46" i="7"/>
  <c r="B45" i="7"/>
  <c r="B44" i="7"/>
  <c r="B42" i="7"/>
  <c r="B41" i="7"/>
  <c r="B40" i="7"/>
  <c r="D35" i="7"/>
  <c r="D34" i="7"/>
  <c r="D33" i="7"/>
  <c r="B36" i="7"/>
  <c r="B35" i="7"/>
  <c r="B34" i="7"/>
  <c r="B33" i="7"/>
  <c r="B32" i="7"/>
  <c r="C51" i="3" l="1"/>
  <c r="B11" i="1" l="1"/>
  <c r="D8" i="3"/>
  <c r="C11" i="3" l="1"/>
  <c r="C12" i="3"/>
  <c r="C15" i="3"/>
  <c r="C16" i="3"/>
  <c r="C19" i="3"/>
  <c r="C20" i="3"/>
  <c r="C22" i="3"/>
  <c r="C24" i="3"/>
  <c r="C26" i="3"/>
  <c r="C29" i="3"/>
  <c r="C30" i="3"/>
  <c r="C32" i="3"/>
  <c r="C35" i="3"/>
  <c r="C36" i="3"/>
  <c r="C39" i="3"/>
  <c r="C40" i="3"/>
  <c r="C43" i="3"/>
  <c r="C44" i="3"/>
  <c r="C47" i="3"/>
  <c r="C48" i="3"/>
  <c r="C52" i="3"/>
  <c r="D24" i="3" l="1"/>
  <c r="F24" i="3" s="1"/>
  <c r="B16" i="2" s="1"/>
  <c r="G24" i="3" l="1"/>
  <c r="C16" i="2" s="1"/>
  <c r="D20" i="3"/>
  <c r="D19" i="3"/>
  <c r="G19" i="3" l="1"/>
  <c r="C14" i="2" s="1"/>
  <c r="F19" i="3"/>
  <c r="B14" i="2" s="1"/>
  <c r="A11" i="2" l="1"/>
  <c r="F8" i="3"/>
  <c r="G8" i="3" s="1"/>
  <c r="C11" i="2" s="1"/>
  <c r="D6" i="3"/>
  <c r="B11" i="2" l="1"/>
  <c r="A24" i="2" l="1"/>
  <c r="A23" i="2"/>
  <c r="A22" i="2"/>
  <c r="A21" i="2"/>
  <c r="A20" i="2"/>
  <c r="A19" i="2"/>
  <c r="A18" i="2"/>
  <c r="A17" i="2"/>
  <c r="A15" i="2"/>
  <c r="A13" i="2"/>
  <c r="A12" i="2"/>
  <c r="A10" i="2"/>
  <c r="F6" i="3"/>
  <c r="D52" i="3"/>
  <c r="D51" i="3"/>
  <c r="D48" i="3"/>
  <c r="D47" i="3"/>
  <c r="D44" i="3"/>
  <c r="D40" i="3"/>
  <c r="D39" i="3"/>
  <c r="D36" i="3"/>
  <c r="D35" i="3"/>
  <c r="D30" i="3"/>
  <c r="D29" i="3"/>
  <c r="D22" i="3"/>
  <c r="F22" i="3" s="1"/>
  <c r="D16" i="3"/>
  <c r="D15" i="3"/>
  <c r="D12" i="3"/>
  <c r="D11" i="3"/>
  <c r="C12" i="5"/>
  <c r="C34" i="5"/>
  <c r="C33" i="5"/>
  <c r="C30" i="5"/>
  <c r="C29" i="5"/>
  <c r="C26" i="5"/>
  <c r="C25" i="5"/>
  <c r="C22" i="5"/>
  <c r="C21" i="5"/>
  <c r="C18" i="5"/>
  <c r="C17" i="5"/>
  <c r="C14" i="5"/>
  <c r="C10" i="5"/>
  <c r="C9" i="5"/>
  <c r="D29" i="2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E18" i="2"/>
  <c r="E17" i="2"/>
  <c r="E16" i="2"/>
  <c r="E15" i="2"/>
  <c r="E14" i="2"/>
  <c r="E13" i="2"/>
  <c r="E12" i="2"/>
  <c r="E11" i="2"/>
  <c r="E10" i="2"/>
  <c r="D32" i="3" l="1"/>
  <c r="F32" i="3" s="1"/>
  <c r="D26" i="3"/>
  <c r="F26" i="3" s="1"/>
  <c r="D43" i="3"/>
  <c r="G43" i="3" s="1"/>
  <c r="C22" i="2" s="1"/>
  <c r="G22" i="3"/>
  <c r="C15" i="2" s="1"/>
  <c r="B15" i="2"/>
  <c r="G6" i="3"/>
  <c r="C10" i="2" s="1"/>
  <c r="B10" i="2"/>
  <c r="G39" i="3"/>
  <c r="C21" i="2" s="1"/>
  <c r="G29" i="3"/>
  <c r="C18" i="2" s="1"/>
  <c r="F29" i="3"/>
  <c r="B18" i="2" s="1"/>
  <c r="G15" i="3"/>
  <c r="C13" i="2" s="1"/>
  <c r="F15" i="3"/>
  <c r="B13" i="2" s="1"/>
  <c r="G47" i="3"/>
  <c r="C23" i="2" s="1"/>
  <c r="F47" i="3"/>
  <c r="B23" i="2" s="1"/>
  <c r="G11" i="3"/>
  <c r="C12" i="2" s="1"/>
  <c r="F11" i="3"/>
  <c r="B12" i="2" s="1"/>
  <c r="F35" i="3"/>
  <c r="B20" i="2" s="1"/>
  <c r="G35" i="3"/>
  <c r="C20" i="2" s="1"/>
  <c r="G51" i="3"/>
  <c r="C24" i="2" s="1"/>
  <c r="F51" i="3"/>
  <c r="B24" i="2" s="1"/>
  <c r="F39" i="3"/>
  <c r="B21" i="2" s="1"/>
  <c r="G26" i="3" l="1"/>
  <c r="C17" i="2" s="1"/>
  <c r="B17" i="2"/>
  <c r="G32" i="3"/>
  <c r="C19" i="2" s="1"/>
  <c r="B19" i="2"/>
  <c r="F43" i="3"/>
  <c r="B22" i="2" s="1"/>
  <c r="F19" i="1"/>
  <c r="F18" i="1"/>
  <c r="G18" i="1" l="1"/>
  <c r="D34" i="5" l="1"/>
  <c r="D33" i="5" l="1"/>
  <c r="D30" i="5"/>
  <c r="G33" i="5" l="1"/>
  <c r="G18" i="2" s="1"/>
  <c r="F33" i="5"/>
  <c r="F18" i="2" s="1"/>
  <c r="D29" i="5"/>
  <c r="G29" i="5" l="1"/>
  <c r="G17" i="2" s="1"/>
  <c r="F29" i="5"/>
  <c r="F17" i="2" s="1"/>
  <c r="D10" i="5" l="1"/>
  <c r="D18" i="5"/>
  <c r="D9" i="5" l="1"/>
  <c r="G9" i="5" l="1"/>
  <c r="G11" i="2" s="1"/>
  <c r="F9" i="5"/>
  <c r="F11" i="2" s="1"/>
  <c r="D22" i="5" l="1"/>
  <c r="D26" i="5"/>
  <c r="D21" i="5" l="1"/>
  <c r="D25" i="5"/>
  <c r="G25" i="5" l="1"/>
  <c r="G16" i="2" s="1"/>
  <c r="F25" i="5"/>
  <c r="F16" i="2" s="1"/>
  <c r="G21" i="5"/>
  <c r="G15" i="2" s="1"/>
  <c r="F21" i="5"/>
  <c r="F15" i="2" s="1"/>
  <c r="D6" i="5" l="1"/>
  <c r="F6" i="5" s="1"/>
  <c r="F10" i="2" l="1"/>
  <c r="G6" i="5"/>
  <c r="G10" i="2" s="1"/>
  <c r="D17" i="5"/>
  <c r="G17" i="5" s="1"/>
  <c r="G14" i="2" l="1"/>
  <c r="F17" i="5"/>
  <c r="F14" i="2" s="1"/>
  <c r="D12" i="5" l="1"/>
  <c r="F12" i="5" s="1"/>
  <c r="G12" i="5" s="1"/>
  <c r="F12" i="2" l="1"/>
  <c r="G12" i="2"/>
  <c r="D14" i="5" l="1"/>
  <c r="F14" i="5" s="1"/>
  <c r="B28" i="2"/>
  <c r="F13" i="2" l="1"/>
  <c r="G14" i="5"/>
  <c r="G13" i="2" s="1"/>
  <c r="B29" i="2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F28" i="2" l="1"/>
  <c r="D19" i="1" s="1"/>
  <c r="G19" i="1" l="1"/>
  <c r="E19" i="1"/>
</calcChain>
</file>

<file path=xl/sharedStrings.xml><?xml version="1.0" encoding="utf-8"?>
<sst xmlns="http://schemas.openxmlformats.org/spreadsheetml/2006/main" count="306" uniqueCount="142">
  <si>
    <t>Year 5 Non-Residential Renewable Energy Solutions Program</t>
  </si>
  <si>
    <t xml:space="preserve">Evaluated Bid Price Calculator </t>
  </si>
  <si>
    <t>Instructions</t>
  </si>
  <si>
    <t>Buy-All</t>
  </si>
  <si>
    <t>Netting</t>
  </si>
  <si>
    <t>1. Select the appropriate EDC in cell B14 - highlighted in yellow</t>
  </si>
  <si>
    <t>2. Select the appropriate technology in cell B15 - highlighted in yellow</t>
  </si>
  <si>
    <t>3. Select the appropriate Bid Preference in cell B16 - highlighted in yellow</t>
  </si>
  <si>
    <t>3. Select the appropriate retail rate schedule in cell B16 - highlighted in yellow</t>
  </si>
  <si>
    <t xml:space="preserve">4.  Input proposed Bid Price in cell E20 - highlighted in yellow. </t>
  </si>
  <si>
    <t>4. Select the appropriate Bid Preference in cell B18 - highlighted in yellow</t>
  </si>
  <si>
    <t>STEP 1 : Select EDC</t>
  </si>
  <si>
    <t>United Illuminating</t>
  </si>
  <si>
    <t>STEP 2 : Input Technology</t>
  </si>
  <si>
    <t>Other</t>
  </si>
  <si>
    <t>STEP 3: Input Current Site Retail Rate</t>
  </si>
  <si>
    <t>LPT-LRS</t>
  </si>
  <si>
    <t>STEP 4: Bid Preference Selection</t>
  </si>
  <si>
    <t>None</t>
  </si>
  <si>
    <t>STEP 5: Input Tariff Bids</t>
  </si>
  <si>
    <t>Bid Price ($/REC)</t>
  </si>
  <si>
    <r>
      <t>NPV Retail Rate ($MWh)</t>
    </r>
    <r>
      <rPr>
        <b/>
        <sz val="11"/>
        <color theme="1"/>
        <rFont val="Calibri"/>
        <family val="2"/>
      </rPr>
      <t>¹</t>
    </r>
  </si>
  <si>
    <t>Bid Price ($MWh+$/REC)</t>
  </si>
  <si>
    <t>Bid Preference</t>
  </si>
  <si>
    <t>Evaluated Bid Price ($/MWh+$/Rec)</t>
  </si>
  <si>
    <t>Buy All</t>
  </si>
  <si>
    <t>N/A</t>
  </si>
  <si>
    <r>
      <rPr>
        <sz val="11"/>
        <color theme="1"/>
        <rFont val="Calibri"/>
        <family val="2"/>
      </rPr>
      <t>¹</t>
    </r>
    <r>
      <rPr>
        <sz val="11"/>
        <color theme="1"/>
        <rFont val="Times New Roman"/>
        <family val="1"/>
      </rPr>
      <t xml:space="preserve"> This rate represents the levelized retail rate which is a constant value that yields the same net present value </t>
    </r>
    <r>
      <rPr>
        <sz val="11"/>
        <color theme="1"/>
        <rFont val="Times New Roman"/>
        <family val="2"/>
      </rPr>
      <t xml:space="preserve">as the nominal price stream over 20 years. </t>
    </r>
  </si>
  <si>
    <t>See Calculation Sheet to view the calculation.</t>
  </si>
  <si>
    <t>Retail Rate Escalation =</t>
  </si>
  <si>
    <t>Discount Rate =</t>
  </si>
  <si>
    <t>On-peak Percentage</t>
  </si>
  <si>
    <t>Solar</t>
  </si>
  <si>
    <t>Eversource</t>
  </si>
  <si>
    <t>Eversource Rate</t>
  </si>
  <si>
    <t>Year 1 Rate (Solar)</t>
  </si>
  <si>
    <t>Year 1 Rate (Other)</t>
  </si>
  <si>
    <t>UI Rates</t>
  </si>
  <si>
    <t>Year 5 Rate</t>
  </si>
  <si>
    <t>Landfill</t>
  </si>
  <si>
    <t>Brownfield</t>
  </si>
  <si>
    <t>Distressed Community</t>
  </si>
  <si>
    <t>27a</t>
  </si>
  <si>
    <t>Solar Carport/Solar Canopy</t>
  </si>
  <si>
    <t>30a</t>
  </si>
  <si>
    <t>Nominal Bundled Rate [$/MWh]</t>
  </si>
  <si>
    <t>Annual Energy [MWh/Year]</t>
  </si>
  <si>
    <t>Levelized Retail Rate [$/MWh]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</si>
  <si>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</si>
  <si>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</si>
  <si>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</si>
  <si>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</si>
  <si>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</si>
  <si>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</si>
  <si>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</si>
  <si>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</si>
  <si>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</si>
  <si>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</si>
  <si>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</si>
  <si>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</si>
  <si>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</si>
  <si>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</si>
  <si>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</si>
  <si>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</si>
  <si>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</si>
  <si>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</si>
  <si>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</si>
  <si>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</si>
  <si>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CL&amp;P dba Eversource Energy Average 2025 Net-Metering Credit</t>
  </si>
  <si>
    <t>(cents per kWh)</t>
  </si>
  <si>
    <t>Rate</t>
  </si>
  <si>
    <t>Retail 
Supply Rate</t>
  </si>
  <si>
    <t>Supply Rate Adjustment</t>
  </si>
  <si>
    <t>Adjusted Retail Supply Rate</t>
  </si>
  <si>
    <t>Delivery Service Rate</t>
  </si>
  <si>
    <t>Total Solar Rate</t>
  </si>
  <si>
    <t>Total Other Rate</t>
  </si>
  <si>
    <t>Rate 1</t>
  </si>
  <si>
    <t>Rate 5</t>
  </si>
  <si>
    <t>Rate 7</t>
  </si>
  <si>
    <t>On-Peak</t>
  </si>
  <si>
    <t>Off-Peak</t>
  </si>
  <si>
    <t>Rate 27</t>
  </si>
  <si>
    <t>Rate 27a</t>
  </si>
  <si>
    <t>Rate 30</t>
  </si>
  <si>
    <t>Rate 30a</t>
  </si>
  <si>
    <t>Rate 35</t>
  </si>
  <si>
    <t>Rate 37</t>
  </si>
  <si>
    <t>Rate 40</t>
  </si>
  <si>
    <t>Rate 41</t>
  </si>
  <si>
    <t>Rate 55</t>
  </si>
  <si>
    <t>Rate 56</t>
  </si>
  <si>
    <t>Rate 57</t>
  </si>
  <si>
    <t>Rate 58</t>
  </si>
  <si>
    <t>Note: CL&amp;P energy prices are in cents per kWh</t>
  </si>
  <si>
    <t>The United Illuminating Company Average 2025 Net-Metering Credit</t>
  </si>
  <si>
    <t>Rate R</t>
  </si>
  <si>
    <t>Rate RT</t>
  </si>
  <si>
    <t>Rate GSN</t>
  </si>
  <si>
    <t>Rate GSD</t>
  </si>
  <si>
    <t>Rate GSTN</t>
  </si>
  <si>
    <t>Rate GST-SS</t>
  </si>
  <si>
    <t>Rate LPT-SS</t>
  </si>
  <si>
    <t>Rate GST-LRS</t>
  </si>
  <si>
    <t>Rate LPT-LRS</t>
  </si>
  <si>
    <t>Note: UI energy prices are in cents per kWh</t>
  </si>
  <si>
    <t>Buy-All Price Caps</t>
  </si>
  <si>
    <t>Price Cap for 100% Solar Canopy/Solar Carport Projects ONLY</t>
  </si>
  <si>
    <t>School Solar</t>
  </si>
  <si>
    <t>Small Zero Emission</t>
  </si>
  <si>
    <t>Buy-All Price</t>
  </si>
  <si>
    <t>Medium Zero Emission</t>
  </si>
  <si>
    <t>Buy-All Price W/DM or Brownfield Adder</t>
  </si>
  <si>
    <t>Large Zero Emission</t>
  </si>
  <si>
    <t>Buy-All Price W/100% Carport Adder</t>
  </si>
  <si>
    <t>Netting Price Caps ($/REC)</t>
  </si>
  <si>
    <t>Rate Class</t>
  </si>
  <si>
    <t>Non Time-of-Use Rates</t>
  </si>
  <si>
    <t>R</t>
  </si>
  <si>
    <t>GSN</t>
  </si>
  <si>
    <t>GSD</t>
  </si>
  <si>
    <t>Time-of-Use Rates</t>
  </si>
  <si>
    <t>Non-solar</t>
  </si>
  <si>
    <t>Non-Solar</t>
  </si>
  <si>
    <t>RT</t>
  </si>
  <si>
    <t>GST-N</t>
  </si>
  <si>
    <t>GST-SS</t>
  </si>
  <si>
    <t>LPT-SS</t>
  </si>
  <si>
    <t>GST-LRS</t>
  </si>
  <si>
    <t>100% Solar Canopy/Carport Netting Price Caps ($/REC)</t>
  </si>
  <si>
    <t>School Solar Category Netting Prices ($/REC)</t>
  </si>
  <si>
    <t>Without Adder</t>
  </si>
  <si>
    <t>With Brownfield or Distressed Municipality Adder</t>
  </si>
  <si>
    <t>With 100% Carport/Canopy Adder</t>
  </si>
  <si>
    <t>Time-of-Use-Rates</t>
  </si>
  <si>
    <t>Small Zero Emission Netting Tariff Rate</t>
  </si>
  <si>
    <t>Medium Zero Emission Netting Price Cap</t>
  </si>
  <si>
    <t>Large Zero Emission Netting Price Cap</t>
  </si>
  <si>
    <t>100% Solar Canopy/Solar Carport Netting Price Caps ($/REC)</t>
  </si>
  <si>
    <t>Energy Values</t>
  </si>
  <si>
    <t>Non-TOU Rates</t>
  </si>
  <si>
    <t>TOU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</si>
</sst>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&quot;$&quot;#,##0.00_);\(&quot;$&quot;#,##0.00\)"/>
    <numFmt numFmtId="165" formatCode="&quot;$&quot;#,##0.00_);[Red]\(&quot;$&quot;#,##0.0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&quot;$&quot;* #,##0_);_(&quot;$&quot;* \(#,##0\);_(&quot;$&quot;* &quot;-&quot;??_);_(@_)"/>
    <numFmt numFmtId="169" formatCode="_(&quot;$&quot;* #,##0.00000_);_(&quot;$&quot;* \(#,##0.00000\);_(&quot;$&quot;* &quot;-&quot;?????_);_(@_)"/>
    <numFmt numFmtId="170" formatCode="_(* #,##0.00000_);_(* \(#,##0.00000\);_(* &quot;-&quot;?????_);_(@_)"/>
    <numFmt numFmtId="171" formatCode="#,##0.00000"/>
    <numFmt numFmtId="172" formatCode="_(&quot;$&quot;* #,##0.0000_);_(&quot;$&quot;* \(#,##0.0000\);_(&quot;$&quot;* &quot;-&quot;??_);_(@_)"/>
    <numFmt numFmtId="173" formatCode="#,##0.000_);\(#,##0.000\)"/>
    <numFmt numFmtId="174" formatCode="_(* #,##0.00_);_(* \(#,##0.00\);_(* &quot;-&quot;_);_(@_)"/>
    <numFmt numFmtId="175" formatCode="#,##0.0000_);\(#,##0.0000\)"/>
    <numFmt numFmtId="176" formatCode="0.000_);\(0.000\)"/>
    <numFmt numFmtId="177" formatCode="&quot;$&quot;#,##0.00"/>
    <numFmt numFmtId="178" formatCode="_(* #,##0_);_(* \(#,##0\);_(* &quot;-&quot;??_);_(@_)"/>
    <numFmt numFmtId="179" formatCode="&quot;$&quot;#,##0.000000_);[Red]\(&quot;$&quot;#,##0.000000\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u val="singleAccounting"/>
      <sz val="10"/>
      <name val="Arial"/>
      <family val="2"/>
    </font>
    <font>
      <u/>
      <sz val="10"/>
      <name val="Arial"/>
      <family val="2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</cellStyleXfs>
  <cellXfs count="20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9" fontId="3" fillId="0" borderId="1" xfId="2" applyFont="1" applyBorder="1"/>
    <xf numFmtId="0" fontId="10" fillId="0" borderId="4" xfId="0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170" fontId="6" fillId="0" borderId="0" xfId="3" applyNumberFormat="1" applyFont="1" applyFill="1" applyBorder="1" applyAlignment="1"/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9" fontId="3" fillId="0" borderId="12" xfId="2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175" fontId="11" fillId="0" borderId="0" xfId="1" applyNumberFormat="1" applyFont="1" applyFill="1"/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12" fillId="0" borderId="0" xfId="4" applyFont="1"/>
    <xf numFmtId="0" fontId="12" fillId="0" borderId="0" xfId="4" applyFont="1" applyAlignment="1">
      <alignment horizontal="right" wrapText="1"/>
    </xf>
    <xf numFmtId="0" fontId="13" fillId="0" borderId="0" xfId="4" applyFont="1" applyAlignment="1">
      <alignment horizontal="center"/>
    </xf>
    <xf numFmtId="0" fontId="13" fillId="0" borderId="0" xfId="4" applyFont="1" applyAlignment="1">
      <alignment horizontal="right"/>
    </xf>
    <xf numFmtId="0" fontId="14" fillId="0" borderId="0" xfId="4" applyFont="1" applyAlignment="1">
      <alignment horizontal="left"/>
    </xf>
    <xf numFmtId="175" fontId="11" fillId="0" borderId="0" xfId="1" applyNumberFormat="1" applyFont="1"/>
    <xf numFmtId="0" fontId="11" fillId="0" borderId="0" xfId="4" applyFont="1" applyAlignment="1">
      <alignment horizontal="left"/>
    </xf>
    <xf numFmtId="173" fontId="11" fillId="0" borderId="0" xfId="1" applyNumberFormat="1" applyFont="1" applyFill="1"/>
    <xf numFmtId="173" fontId="11" fillId="0" borderId="0" xfId="1" applyNumberFormat="1" applyFont="1"/>
    <xf numFmtId="175" fontId="11" fillId="0" borderId="0" xfId="1" applyNumberFormat="1" applyFont="1" applyFill="1" applyBorder="1" applyAlignment="1">
      <alignment horizontal="center"/>
    </xf>
    <xf numFmtId="173" fontId="11" fillId="0" borderId="0" xfId="1" applyNumberFormat="1" applyFont="1" applyFill="1" applyBorder="1" applyAlignment="1">
      <alignment horizontal="center"/>
    </xf>
    <xf numFmtId="175" fontId="11" fillId="0" borderId="0" xfId="1" applyNumberFormat="1" applyFont="1" applyFill="1" applyAlignment="1">
      <alignment horizontal="left"/>
    </xf>
    <xf numFmtId="173" fontId="11" fillId="0" borderId="0" xfId="1" applyNumberFormat="1" applyFont="1" applyFill="1" applyAlignment="1">
      <alignment horizontal="left"/>
    </xf>
    <xf numFmtId="0" fontId="11" fillId="0" borderId="0" xfId="0" applyFont="1" applyAlignment="1">
      <alignment horizontal="center"/>
    </xf>
    <xf numFmtId="166" fontId="11" fillId="0" borderId="0" xfId="1" applyFont="1" applyFill="1" applyAlignment="1">
      <alignment horizontal="center"/>
    </xf>
    <xf numFmtId="166" fontId="11" fillId="0" borderId="0" xfId="1" applyFont="1" applyAlignment="1">
      <alignment horizontal="center"/>
    </xf>
    <xf numFmtId="167" fontId="11" fillId="0" borderId="0" xfId="3" applyFont="1"/>
    <xf numFmtId="171" fontId="11" fillId="0" borderId="0" xfId="1" applyNumberFormat="1" applyFont="1" applyFill="1" applyBorder="1" applyAlignment="1"/>
    <xf numFmtId="169" fontId="11" fillId="0" borderId="0" xfId="1" applyNumberFormat="1" applyFont="1" applyFill="1" applyBorder="1" applyAlignment="1"/>
    <xf numFmtId="10" fontId="11" fillId="0" borderId="0" xfId="0" applyNumberFormat="1" applyFont="1"/>
    <xf numFmtId="9" fontId="11" fillId="0" borderId="0" xfId="0" applyNumberFormat="1" applyFont="1"/>
    <xf numFmtId="0" fontId="11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left"/>
    </xf>
    <xf numFmtId="172" fontId="11" fillId="0" borderId="0" xfId="1" applyNumberFormat="1" applyFont="1" applyFill="1"/>
    <xf numFmtId="0" fontId="11" fillId="0" borderId="0" xfId="0" applyFont="1" applyAlignment="1">
      <alignment horizontal="right" indent="7"/>
    </xf>
    <xf numFmtId="0" fontId="11" fillId="0" borderId="0" xfId="0" applyFont="1" applyAlignment="1">
      <alignment horizontal="center" wrapText="1"/>
    </xf>
    <xf numFmtId="166" fontId="11" fillId="0" borderId="0" xfId="1" applyFont="1" applyFill="1"/>
    <xf numFmtId="165" fontId="11" fillId="0" borderId="0" xfId="0" applyNumberFormat="1" applyFont="1"/>
    <xf numFmtId="0" fontId="11" fillId="0" borderId="0" xfId="3" applyNumberFormat="1" applyFont="1" applyFill="1"/>
    <xf numFmtId="166" fontId="11" fillId="0" borderId="0" xfId="0" applyNumberFormat="1" applyFont="1"/>
    <xf numFmtId="174" fontId="11" fillId="0" borderId="0" xfId="1" applyNumberFormat="1" applyFont="1" applyFill="1"/>
    <xf numFmtId="165" fontId="15" fillId="0" borderId="12" xfId="1" applyNumberFormat="1" applyFont="1" applyFill="1" applyBorder="1"/>
    <xf numFmtId="0" fontId="17" fillId="0" borderId="0" xfId="0" applyFont="1"/>
    <xf numFmtId="176" fontId="11" fillId="0" borderId="0" xfId="1" applyNumberFormat="1" applyFont="1" applyFill="1"/>
    <xf numFmtId="176" fontId="12" fillId="0" borderId="0" xfId="4" applyNumberFormat="1" applyFont="1" applyAlignment="1">
      <alignment horizontal="right" wrapText="1"/>
    </xf>
    <xf numFmtId="176" fontId="11" fillId="0" borderId="0" xfId="1" applyNumberFormat="1" applyFont="1" applyFill="1" applyBorder="1" applyAlignment="1">
      <alignment horizontal="center"/>
    </xf>
    <xf numFmtId="176" fontId="11" fillId="0" borderId="0" xfId="3" applyNumberFormat="1" applyFont="1" applyFill="1" applyBorder="1" applyAlignment="1">
      <alignment horizontal="center"/>
    </xf>
    <xf numFmtId="176" fontId="11" fillId="0" borderId="0" xfId="3" applyNumberFormat="1" applyFont="1" applyFill="1"/>
    <xf numFmtId="176" fontId="11" fillId="0" borderId="0" xfId="1" applyNumberFormat="1" applyFont="1" applyFill="1" applyAlignment="1">
      <alignment horizontal="center"/>
    </xf>
    <xf numFmtId="176" fontId="11" fillId="0" borderId="0" xfId="1" applyNumberFormat="1" applyFont="1"/>
    <xf numFmtId="176" fontId="11" fillId="0" borderId="0" xfId="3" applyNumberFormat="1" applyFont="1"/>
    <xf numFmtId="176" fontId="11" fillId="0" borderId="0" xfId="1" applyNumberFormat="1" applyFont="1" applyAlignment="1">
      <alignment horizontal="center"/>
    </xf>
    <xf numFmtId="166" fontId="11" fillId="0" borderId="0" xfId="1" applyFont="1"/>
    <xf numFmtId="177" fontId="3" fillId="0" borderId="12" xfId="1" applyNumberFormat="1" applyFont="1" applyBorder="1"/>
    <xf numFmtId="177" fontId="4" fillId="2" borderId="14" xfId="1" applyNumberFormat="1" applyFont="1" applyFill="1" applyBorder="1" applyProtection="1">
      <protection locked="0"/>
    </xf>
    <xf numFmtId="177" fontId="4" fillId="2" borderId="1" xfId="1" applyNumberFormat="1" applyFont="1" applyFill="1" applyBorder="1" applyProtection="1">
      <protection locked="0"/>
    </xf>
    <xf numFmtId="177" fontId="4" fillId="0" borderId="8" xfId="1" applyNumberFormat="1" applyFont="1" applyBorder="1"/>
    <xf numFmtId="177" fontId="4" fillId="0" borderId="10" xfId="1" applyNumberFormat="1" applyFont="1" applyBorder="1"/>
    <xf numFmtId="164" fontId="11" fillId="0" borderId="0" xfId="1" applyNumberFormat="1" applyFont="1"/>
    <xf numFmtId="0" fontId="14" fillId="0" borderId="0" xfId="0" applyFont="1" applyAlignment="1">
      <alignment horizontal="right"/>
    </xf>
    <xf numFmtId="177" fontId="11" fillId="0" borderId="0" xfId="1" applyNumberFormat="1" applyFont="1"/>
    <xf numFmtId="177" fontId="11" fillId="0" borderId="0" xfId="0" applyNumberFormat="1" applyFont="1"/>
    <xf numFmtId="175" fontId="11" fillId="0" borderId="0" xfId="4" applyNumberFormat="1" applyFont="1" applyAlignment="1">
      <alignment horizontal="center"/>
    </xf>
    <xf numFmtId="173" fontId="11" fillId="0" borderId="0" xfId="4" applyNumberFormat="1" applyFont="1" applyAlignment="1">
      <alignment horizontal="center"/>
    </xf>
    <xf numFmtId="0" fontId="0" fillId="0" borderId="0" xfId="0" applyAlignment="1">
      <alignment horizontal="center"/>
    </xf>
    <xf numFmtId="0" fontId="11" fillId="0" borderId="27" xfId="0" applyFont="1" applyBorder="1"/>
    <xf numFmtId="4" fontId="0" fillId="0" borderId="0" xfId="0" applyNumberFormat="1"/>
    <xf numFmtId="0" fontId="4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65" fontId="3" fillId="0" borderId="25" xfId="0" applyNumberFormat="1" applyFont="1" applyBorder="1" applyAlignment="1">
      <alignment horizontal="center" vertical="center" wrapText="1"/>
    </xf>
    <xf numFmtId="176" fontId="11" fillId="0" borderId="0" xfId="0" applyNumberFormat="1" applyFont="1"/>
    <xf numFmtId="176" fontId="11" fillId="0" borderId="0" xfId="4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2" fillId="2" borderId="0" xfId="4" applyFont="1" applyFill="1" applyAlignment="1">
      <alignment horizontal="right" wrapText="1"/>
    </xf>
    <xf numFmtId="165" fontId="0" fillId="0" borderId="1" xfId="0" applyNumberFormat="1" applyBorder="1"/>
    <xf numFmtId="165" fontId="11" fillId="0" borderId="1" xfId="0" applyNumberFormat="1" applyFont="1" applyBorder="1"/>
    <xf numFmtId="166" fontId="11" fillId="0" borderId="0" xfId="1" applyFont="1" applyAlignment="1">
      <alignment horizontal="right"/>
    </xf>
    <xf numFmtId="166" fontId="14" fillId="0" borderId="0" xfId="1" applyFont="1" applyAlignment="1">
      <alignment horizontal="right"/>
    </xf>
    <xf numFmtId="166" fontId="0" fillId="0" borderId="0" xfId="1" applyFont="1"/>
    <xf numFmtId="166" fontId="1" fillId="0" borderId="0" xfId="1" applyFont="1"/>
    <xf numFmtId="0" fontId="4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78" fontId="14" fillId="0" borderId="0" xfId="3" applyNumberFormat="1" applyFont="1" applyAlignment="1">
      <alignment horizontal="right"/>
    </xf>
    <xf numFmtId="178" fontId="19" fillId="0" borderId="0" xfId="3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66" fontId="0" fillId="0" borderId="1" xfId="1" applyFont="1" applyBorder="1" applyAlignment="1">
      <alignment horizontal="center"/>
    </xf>
    <xf numFmtId="0" fontId="23" fillId="0" borderId="22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165" fontId="24" fillId="0" borderId="24" xfId="0" applyNumberFormat="1" applyFont="1" applyBorder="1" applyAlignment="1">
      <alignment horizontal="center" vertical="center"/>
    </xf>
    <xf numFmtId="165" fontId="24" fillId="0" borderId="25" xfId="0" applyNumberFormat="1" applyFont="1" applyBorder="1" applyAlignment="1">
      <alignment horizontal="center" vertical="center"/>
    </xf>
    <xf numFmtId="0" fontId="11" fillId="0" borderId="1" xfId="0" applyFont="1" applyBorder="1"/>
    <xf numFmtId="166" fontId="0" fillId="0" borderId="0" xfId="1" applyFont="1" applyBorder="1" applyAlignment="1">
      <alignment horizontal="center"/>
    </xf>
    <xf numFmtId="0" fontId="0" fillId="0" borderId="1" xfId="0" applyBorder="1" applyAlignment="1">
      <alignment wrapText="1"/>
    </xf>
    <xf numFmtId="165" fontId="0" fillId="0" borderId="26" xfId="0" applyNumberFormat="1" applyBorder="1"/>
    <xf numFmtId="165" fontId="11" fillId="0" borderId="26" xfId="0" applyNumberFormat="1" applyFont="1" applyBorder="1"/>
    <xf numFmtId="0" fontId="14" fillId="0" borderId="30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4" fillId="0" borderId="3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165" fontId="0" fillId="0" borderId="0" xfId="0" applyNumberFormat="1"/>
    <xf numFmtId="165" fontId="11" fillId="0" borderId="1" xfId="0" applyNumberFormat="1" applyFont="1" applyBorder="1" applyAlignment="1">
      <alignment horizontal="center"/>
    </xf>
    <xf numFmtId="0" fontId="19" fillId="0" borderId="26" xfId="0" applyFont="1" applyBorder="1"/>
    <xf numFmtId="0" fontId="19" fillId="0" borderId="2" xfId="0" applyFont="1" applyBorder="1"/>
    <xf numFmtId="177" fontId="0" fillId="0" borderId="1" xfId="0" applyNumberFormat="1" applyBorder="1" applyAlignment="1">
      <alignment horizontal="center"/>
    </xf>
    <xf numFmtId="0" fontId="14" fillId="0" borderId="1" xfId="0" applyFont="1" applyBorder="1"/>
    <xf numFmtId="0" fontId="14" fillId="0" borderId="26" xfId="0" applyFont="1" applyBorder="1"/>
    <xf numFmtId="0" fontId="25" fillId="0" borderId="0" xfId="0" applyFont="1" applyAlignment="1">
      <alignment vertical="center"/>
    </xf>
    <xf numFmtId="165" fontId="26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5" fontId="26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179" fontId="0" fillId="0" borderId="0" xfId="0" applyNumberFormat="1"/>
    <xf numFmtId="0" fontId="4" fillId="0" borderId="0" xfId="0" applyFont="1" applyAlignment="1">
      <alignment horizontal="center"/>
    </xf>
    <xf numFmtId="168" fontId="3" fillId="0" borderId="2" xfId="1" applyNumberFormat="1" applyFont="1" applyBorder="1" applyAlignment="1">
      <alignment horizontal="center"/>
    </xf>
    <xf numFmtId="168" fontId="3" fillId="0" borderId="1" xfId="1" applyNumberFormat="1" applyFont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1" fillId="0" borderId="0" xfId="4" applyFont="1" applyAlignment="1">
      <alignment horizontal="center" vertical="center"/>
    </xf>
    <xf numFmtId="49" fontId="11" fillId="0" borderId="0" xfId="4" applyNumberFormat="1" applyFont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165" fontId="3" fillId="0" borderId="26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165" fontId="26" fillId="0" borderId="26" xfId="0" applyNumberFormat="1" applyFont="1" applyBorder="1" applyAlignment="1">
      <alignment horizontal="center" vertical="center"/>
    </xf>
    <xf numFmtId="165" fontId="26" fillId="0" borderId="2" xfId="0" applyNumberFormat="1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177" fontId="11" fillId="0" borderId="1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/>
  </cellXfs>
  <cellStyles count="5">
    <cellStyle name="Comma" xfId="3" builtinId="3"/>
    <cellStyle name="Currency" xfId="1" builtinId="4"/>
    <cellStyle name="Normal" xfId="0" builtinId="0"/>
    <cellStyle name="Normal 3" xfId="4" xr:uid="{0D7BDF5D-2FAF-404E-9820-F113F78F1882}"/>
    <cellStyle name="Percent" xfId="2" builtinId="5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CCCC"/>
      <color rgb="FFFF7C80"/>
      <color rgb="FFFF99CC"/>
      <color rgb="FFFC88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51B6-9B67-471C-A49A-751F9AA8D450}">
  <sheetPr codeName="Sheet1">
    <pageSetUpPr fitToPage="1"/>
  </sheetPr>
  <dimension ref="A2:I23"/>
  <sheetViews>
    <sheetView view="pageLayout" topLeftCell="A7" zoomScale="80" zoomScaleNormal="100" zoomScalePageLayoutView="80" workbookViewId="0">
      <selection activeCell="B14" sqref="B14"/>
    </sheetView>
  </sheetViews>
  <sheetFormatPr defaultColWidth="9.28515625" defaultRowHeight="15"/>
  <cols>
    <col min="1" max="1" width="42.7109375" style="1" customWidth="1"/>
    <col min="2" max="2" width="29.42578125" style="1" customWidth="1"/>
    <col min="3" max="3" width="10" style="1" customWidth="1"/>
    <col min="4" max="4" width="13.28515625" style="1" customWidth="1"/>
    <col min="5" max="5" width="18.42578125" style="1" customWidth="1"/>
    <col min="6" max="6" width="12.7109375" style="1" customWidth="1"/>
    <col min="7" max="7" width="16.7109375" style="1" customWidth="1"/>
    <col min="8" max="16384" width="9.28515625" style="1"/>
  </cols>
  <sheetData>
    <row r="2" spans="1:9" ht="13.9">
      <c r="A2" s="151" t="s">
        <v>0</v>
      </c>
      <c r="B2" s="151"/>
      <c r="C2" s="151"/>
      <c r="D2" s="151"/>
      <c r="E2" s="151"/>
      <c r="F2" s="151"/>
      <c r="G2" s="151"/>
      <c r="H2" s="151"/>
      <c r="I2" s="151"/>
    </row>
    <row r="3" spans="1:9" ht="13.9">
      <c r="A3" s="151" t="s">
        <v>1</v>
      </c>
      <c r="B3" s="151"/>
      <c r="C3" s="151"/>
      <c r="D3" s="151"/>
      <c r="E3" s="151"/>
      <c r="F3" s="151"/>
      <c r="G3" s="151"/>
      <c r="H3" s="151"/>
      <c r="I3" s="151"/>
    </row>
    <row r="4" spans="1:9" ht="13.9">
      <c r="A4" s="9"/>
      <c r="B4" s="9"/>
      <c r="C4" s="9"/>
      <c r="D4" s="9"/>
      <c r="E4" s="9"/>
    </row>
    <row r="5" spans="1:9" ht="18.600000000000001" thickBot="1">
      <c r="A5" s="157" t="s">
        <v>2</v>
      </c>
      <c r="B5" s="158"/>
    </row>
    <row r="6" spans="1:9" ht="16.149999999999999" thickBot="1">
      <c r="A6" s="4" t="s">
        <v>3</v>
      </c>
      <c r="B6" s="159" t="s">
        <v>4</v>
      </c>
      <c r="C6" s="160"/>
    </row>
    <row r="7" spans="1:9" ht="45" customHeight="1" thickBot="1">
      <c r="A7" s="8" t="s">
        <v>5</v>
      </c>
      <c r="B7" s="161" t="s">
        <v>5</v>
      </c>
      <c r="C7" s="162"/>
    </row>
    <row r="8" spans="1:9" ht="45" customHeight="1" thickBot="1">
      <c r="A8" s="8" t="s">
        <v>6</v>
      </c>
      <c r="B8" s="161" t="s">
        <v>6</v>
      </c>
      <c r="C8" s="162"/>
    </row>
    <row r="9" spans="1:9" ht="45" customHeight="1" thickBot="1">
      <c r="A9" s="8" t="s">
        <v>7</v>
      </c>
      <c r="B9" s="161" t="s">
        <v>8</v>
      </c>
      <c r="C9" s="162"/>
    </row>
    <row r="10" spans="1:9" ht="60" customHeight="1" thickBot="1">
      <c r="A10" s="8" t="s">
        <v>9</v>
      </c>
      <c r="B10" s="165" t="s">
        <v>10</v>
      </c>
      <c r="C10" s="162"/>
    </row>
    <row r="11" spans="1:9" ht="65.25" customHeight="1" thickBot="1">
      <c r="B11" s="163" t="str">
        <f>"5. Input the proposed Bid Price for Buy-All bids in cell " &amp; UPPER(CHAR(COLUMN(E18)+64)) &amp; ROW(E18) &amp; ", or the proposed REC Bid Price for Netting bids in cell " &amp; UPPER(CHAR(COLUMN(C19)+64)) &amp; ROW(C19) &amp; " - highlighted in yellow."</f>
        <v>5. Input the proposed Bid Price for Buy-All bids in cell E18, or the proposed REC Bid Price for Netting bids in cell C19 - highlighted in yellow.</v>
      </c>
      <c r="C11" s="164"/>
    </row>
    <row r="12" spans="1:9" ht="15.75" thickBot="1">
      <c r="A12" s="2"/>
      <c r="B12" s="2"/>
    </row>
    <row r="13" spans="1:9">
      <c r="A13" s="15" t="s">
        <v>11</v>
      </c>
      <c r="B13" s="20" t="s">
        <v>12</v>
      </c>
    </row>
    <row r="14" spans="1:9">
      <c r="A14" s="16" t="s">
        <v>13</v>
      </c>
      <c r="B14" s="21" t="s">
        <v>14</v>
      </c>
    </row>
    <row r="15" spans="1:9" s="2" customFormat="1">
      <c r="A15" s="16" t="s">
        <v>15</v>
      </c>
      <c r="B15" s="22" t="s">
        <v>16</v>
      </c>
      <c r="C15" s="1"/>
      <c r="D15" s="1"/>
      <c r="E15" s="1"/>
      <c r="F15" s="1"/>
      <c r="G15" s="1"/>
    </row>
    <row r="16" spans="1:9">
      <c r="A16" s="16" t="s">
        <v>17</v>
      </c>
      <c r="B16" s="23" t="s">
        <v>18</v>
      </c>
    </row>
    <row r="17" spans="1:7" ht="43.5">
      <c r="A17" s="154" t="s">
        <v>19</v>
      </c>
      <c r="B17" s="18"/>
      <c r="C17" s="13" t="s">
        <v>20</v>
      </c>
      <c r="D17" s="10" t="s">
        <v>21</v>
      </c>
      <c r="E17" s="10" t="s">
        <v>22</v>
      </c>
      <c r="F17" s="10" t="s">
        <v>23</v>
      </c>
      <c r="G17" s="11" t="s">
        <v>24</v>
      </c>
    </row>
    <row r="18" spans="1:7">
      <c r="A18" s="155"/>
      <c r="B18" s="14" t="s">
        <v>25</v>
      </c>
      <c r="C18" s="152" t="s">
        <v>26</v>
      </c>
      <c r="D18" s="153"/>
      <c r="E18" s="71">
        <v>145</v>
      </c>
      <c r="F18" s="3">
        <f>VLOOKUP(B16,'Calculation Sheet'!H10:I18,2,FALSE)</f>
        <v>0</v>
      </c>
      <c r="G18" s="72">
        <f>E18-(E18*F18)</f>
        <v>145</v>
      </c>
    </row>
    <row r="19" spans="1:7" ht="15.75" thickBot="1">
      <c r="A19" s="156"/>
      <c r="B19" s="17" t="s">
        <v>4</v>
      </c>
      <c r="C19" s="70"/>
      <c r="D19" s="57">
        <f>'Calculation Sheet'!F28</f>
        <v>199.3098859263572</v>
      </c>
      <c r="E19" s="69">
        <f>C19+D19</f>
        <v>199.3098859263572</v>
      </c>
      <c r="F19" s="12">
        <f>VLOOKUP(B16,'Calculation Sheet'!H10:I18,2,FALSE)</f>
        <v>0</v>
      </c>
      <c r="G19" s="73">
        <f>(C19+D19)-((C19+D19)*F19)</f>
        <v>199.3098859263572</v>
      </c>
    </row>
    <row r="21" spans="1:7">
      <c r="A21" s="58" t="s">
        <v>27</v>
      </c>
    </row>
    <row r="22" spans="1:7">
      <c r="A22" s="1" t="s">
        <v>28</v>
      </c>
    </row>
    <row r="23" spans="1:7" ht="15.75" customHeight="1"/>
  </sheetData>
  <sheetProtection algorithmName="SHA-512" hashValue="7RkBvEZp/r+wyajYJh5p/ZrL+wRsH4pcEWN6bsR8Wif49jD/uQHKx9zQilx4ZGHVox/hqbiXRK+DPjdEm5kKjg==" saltValue="UKdRfO1COjpqTVMS48lr6A==" spinCount="100000" sheet="1" objects="1" scenarios="1"/>
  <mergeCells count="11">
    <mergeCell ref="A2:I2"/>
    <mergeCell ref="A3:I3"/>
    <mergeCell ref="C18:D18"/>
    <mergeCell ref="A17:A19"/>
    <mergeCell ref="A5:B5"/>
    <mergeCell ref="B6:C6"/>
    <mergeCell ref="B7:C7"/>
    <mergeCell ref="B8:C8"/>
    <mergeCell ref="B9:C9"/>
    <mergeCell ref="B11:C11"/>
    <mergeCell ref="B10:C10"/>
  </mergeCells>
  <dataValidations count="1">
    <dataValidation type="list" allowBlank="1" showInputMessage="1" showErrorMessage="1" sqref="B15" xr:uid="{06F437A3-AF55-4CF7-9569-E932ED4502D9}">
      <formula1>IF($B$13="Eversource", ESRATES, UIRates)</formula1>
    </dataValidation>
  </dataValidations>
  <pageMargins left="0.7" right="0.7" top="1.1776041666666666" bottom="0.75" header="0.3" footer="0.3"/>
  <pageSetup scale="75" fitToHeight="0" orientation="landscape" r:id="rId1"/>
  <headerFooter>
    <oddHeader>&amp;RThe Connecticut Light and Power Company dba Eversource Energy &amp; The United Illuminating Company
Docket No. 25-08-03
January 28, 2026
Compliance with Motion No. 11, Attachment 9
Page &amp;P of &amp;N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0272FE6-93ED-4245-B15E-B1424ADEFB6A}">
          <x14:formula1>
            <xm:f>'Calculation Sheet'!$A$5:$A$6</xm:f>
          </x14:formula1>
          <xm:sqref>B13</xm:sqref>
        </x14:dataValidation>
        <x14:dataValidation type="list" allowBlank="1" showInputMessage="1" showErrorMessage="1" xr:uid="{51107CCF-DE39-4644-ADEC-DB30205DA734}">
          <x14:formula1>
            <xm:f>'Calculation Sheet'!$B$4:$C$4</xm:f>
          </x14:formula1>
          <xm:sqref>B14</xm:sqref>
        </x14:dataValidation>
        <x14:dataValidation type="list" allowBlank="1" showInputMessage="1" showErrorMessage="1" xr:uid="{C4D0876C-1194-4E39-B96E-6FD1EC7B7A0D}">
          <x14:formula1>
            <xm:f>'Calculation Sheet'!$H$10:$H$14</xm:f>
          </x14:formula1>
          <xm:sqref>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54E21-5573-4752-A6A6-63D660037284}">
  <sheetPr codeName="Sheet3"/>
  <dimension ref="A1:Q48"/>
  <sheetViews>
    <sheetView view="pageLayout" zoomScale="80" zoomScaleNormal="100" zoomScalePageLayoutView="80" workbookViewId="0">
      <selection activeCell="F4" sqref="F4"/>
    </sheetView>
  </sheetViews>
  <sheetFormatPr defaultColWidth="9.28515625" defaultRowHeight="15"/>
  <cols>
    <col min="1" max="1" width="23" style="24" customWidth="1"/>
    <col min="2" max="2" width="18" style="24" customWidth="1"/>
    <col min="3" max="3" width="16.7109375" style="24" customWidth="1"/>
    <col min="4" max="4" width="12.28515625" style="24" customWidth="1"/>
    <col min="5" max="5" width="11.28515625" style="24" customWidth="1"/>
    <col min="6" max="7" width="19.7109375" style="24" customWidth="1"/>
    <col min="8" max="8" width="24.7109375" style="24" customWidth="1"/>
    <col min="9" max="9" width="10.5703125" style="24" customWidth="1"/>
    <col min="10" max="10" width="22.5703125" style="24" customWidth="1"/>
    <col min="11" max="11" width="22.7109375" style="24" customWidth="1"/>
    <col min="12" max="12" width="10.5703125" style="24" customWidth="1"/>
    <col min="13" max="13" width="12.28515625" style="24" customWidth="1"/>
    <col min="14" max="14" width="14.28515625" style="24" customWidth="1"/>
    <col min="15" max="15" width="20" style="24" customWidth="1"/>
    <col min="16" max="16" width="14.7109375" style="24" customWidth="1"/>
    <col min="17" max="18" width="10.5703125" style="24" customWidth="1"/>
    <col min="19" max="16384" width="9.28515625" style="24"/>
  </cols>
  <sheetData>
    <row r="1" spans="1:17">
      <c r="A1" s="24" t="s">
        <v>29</v>
      </c>
      <c r="B1" s="44">
        <v>2.5000000000000001E-2</v>
      </c>
    </row>
    <row r="2" spans="1:17">
      <c r="A2" s="24" t="s">
        <v>30</v>
      </c>
      <c r="B2" s="45">
        <v>7.0000000000000007E-2</v>
      </c>
    </row>
    <row r="4" spans="1:17">
      <c r="A4" s="24" t="s">
        <v>31</v>
      </c>
      <c r="B4" s="46" t="s">
        <v>32</v>
      </c>
      <c r="C4" s="46" t="s">
        <v>14</v>
      </c>
    </row>
    <row r="5" spans="1:17">
      <c r="A5" s="24" t="s">
        <v>33</v>
      </c>
      <c r="B5" s="24">
        <v>0.344211318283561</v>
      </c>
      <c r="C5" s="24">
        <v>0.24</v>
      </c>
      <c r="Q5" s="47"/>
    </row>
    <row r="6" spans="1:17">
      <c r="A6" s="24" t="s">
        <v>12</v>
      </c>
      <c r="B6" s="24">
        <v>0.53099014452695148</v>
      </c>
      <c r="C6" s="24">
        <v>0.23809523809523808</v>
      </c>
    </row>
    <row r="8" spans="1:17" ht="15" customHeight="1">
      <c r="A8" s="47" t="s">
        <v>34</v>
      </c>
      <c r="B8" s="48" t="s">
        <v>35</v>
      </c>
      <c r="C8" s="47" t="s">
        <v>36</v>
      </c>
      <c r="E8" s="47" t="s">
        <v>37</v>
      </c>
      <c r="F8" s="47" t="s">
        <v>35</v>
      </c>
      <c r="G8" s="47" t="s">
        <v>36</v>
      </c>
      <c r="H8" s="47" t="s">
        <v>23</v>
      </c>
      <c r="I8" s="47" t="s">
        <v>38</v>
      </c>
      <c r="J8" s="47"/>
      <c r="L8" s="47"/>
    </row>
    <row r="9" spans="1:17">
      <c r="A9" s="46"/>
      <c r="B9" s="47"/>
      <c r="C9" s="47"/>
      <c r="F9" s="49"/>
      <c r="G9" s="49"/>
      <c r="L9" s="47"/>
      <c r="M9" s="47"/>
      <c r="N9" s="47"/>
    </row>
    <row r="10" spans="1:17">
      <c r="A10" s="50" t="str">
        <f>RIGHT('CL&amp;P Avoided Pricing'!$A$6,LEN('CL&amp;P Avoided Pricing'!$A$6)-5)</f>
        <v>1</v>
      </c>
      <c r="B10" s="49">
        <f>'CL&amp;P Avoided Pricing'!$F$6/100</f>
        <v>0.28308</v>
      </c>
      <c r="C10" s="49">
        <f>'CL&amp;P Avoided Pricing'!$G$6/100</f>
        <v>0.28308</v>
      </c>
      <c r="E10" s="24" t="str">
        <f>RIGHT('UI Avoided Pricing'!$A$6,LEN('UI Avoided Pricing'!$A$6)-5)</f>
        <v>R</v>
      </c>
      <c r="F10" s="49">
        <f>'UI Avoided Pricing'!$F$6/100</f>
        <v>0.32322468558271422</v>
      </c>
      <c r="G10" s="49">
        <f>'UI Avoided Pricing'!$G$6/100</f>
        <v>0.32322468558271422</v>
      </c>
      <c r="H10" s="24" t="s">
        <v>18</v>
      </c>
      <c r="I10" s="45">
        <v>0</v>
      </c>
      <c r="L10" s="47"/>
      <c r="M10" s="68"/>
    </row>
    <row r="11" spans="1:17">
      <c r="A11" s="50" t="str">
        <f>RIGHT('CL&amp;P Avoided Pricing'!$A$8,LEN('CL&amp;P Avoided Pricing'!$A$8)-5)</f>
        <v>5</v>
      </c>
      <c r="B11" s="49">
        <f>'CL&amp;P Avoided Pricing'!$F$8/100</f>
        <v>0.25781999999999999</v>
      </c>
      <c r="C11" s="49">
        <f>'CL&amp;P Avoided Pricing'!$G$8/100</f>
        <v>0.25781999999999999</v>
      </c>
      <c r="E11" s="24" t="str">
        <f>RIGHT('UI Avoided Pricing'!$A$8,LEN('UI Avoided Pricing'!$A$8)-5)</f>
        <v>RT</v>
      </c>
      <c r="F11" s="49">
        <f>'UI Avoided Pricing'!$F$9/100</f>
        <v>0.40697586448921358</v>
      </c>
      <c r="G11" s="49">
        <f>'UI Avoided Pricing'!$G$9/100</f>
        <v>0.3478732295684604</v>
      </c>
      <c r="H11" s="24" t="s">
        <v>39</v>
      </c>
      <c r="I11" s="45">
        <v>0.2</v>
      </c>
      <c r="L11" s="47"/>
    </row>
    <row r="12" spans="1:17">
      <c r="A12" s="50" t="str">
        <f>RIGHT('CL&amp;P Avoided Pricing'!$A$10,LEN('CL&amp;P Avoided Pricing'!$A$10)-5)</f>
        <v>7</v>
      </c>
      <c r="B12" s="49">
        <f>'CL&amp;P Avoided Pricing'!$F$11/100</f>
        <v>0.29166899340491442</v>
      </c>
      <c r="C12" s="49">
        <f>'CL&amp;P Avoided Pricing'!$G$11/100</f>
        <v>0.27453040000000001</v>
      </c>
      <c r="E12" s="24" t="str">
        <f>RIGHT('UI Avoided Pricing'!$A$12,LEN('UI Avoided Pricing'!$A$12)-5)</f>
        <v>GSN</v>
      </c>
      <c r="F12" s="49">
        <f>'UI Avoided Pricing'!$F$12/100</f>
        <v>0.32691948885227079</v>
      </c>
      <c r="G12" s="49">
        <f>'UI Avoided Pricing'!$G$12/100</f>
        <v>0.32691948885227079</v>
      </c>
      <c r="H12" s="24" t="s">
        <v>40</v>
      </c>
      <c r="I12" s="45">
        <v>0.2</v>
      </c>
      <c r="L12" s="47"/>
    </row>
    <row r="13" spans="1:17">
      <c r="A13" s="50" t="str">
        <f>RIGHT('CL&amp;P Avoided Pricing'!$A$14,LEN('CL&amp;P Avoided Pricing'!$A$14)-5)</f>
        <v>27</v>
      </c>
      <c r="B13" s="49">
        <f>'CL&amp;P Avoided Pricing'!$F$15/100</f>
        <v>0.16336945331999772</v>
      </c>
      <c r="C13" s="49">
        <f>'CL&amp;P Avoided Pricing'!$G$15/100</f>
        <v>0.15219799999999997</v>
      </c>
      <c r="E13" s="24" t="str">
        <f>RIGHT('UI Avoided Pricing'!$A$14,LEN('UI Avoided Pricing'!$A$14)-5)</f>
        <v>GSD</v>
      </c>
      <c r="F13" s="49">
        <f>'UI Avoided Pricing'!$F$14/100</f>
        <v>0.16733299674823979</v>
      </c>
      <c r="G13" s="49">
        <f>'UI Avoided Pricing'!$G$14/100</f>
        <v>0.16733299674823979</v>
      </c>
      <c r="H13" s="24" t="s">
        <v>41</v>
      </c>
      <c r="I13" s="45">
        <v>0.2</v>
      </c>
      <c r="L13" s="47"/>
    </row>
    <row r="14" spans="1:17">
      <c r="A14" s="50" t="s">
        <v>42</v>
      </c>
      <c r="B14" s="49">
        <f>'CL&amp;P Avoided Pricing'!F19/100</f>
        <v>0.18361798395780302</v>
      </c>
      <c r="C14" s="49">
        <f>'CL&amp;P Avoided Pricing'!G19/100</f>
        <v>0.16910759999999997</v>
      </c>
      <c r="E14" s="24" t="str">
        <f>RIGHT('UI Avoided Pricing'!$A$16,LEN('UI Avoided Pricing'!$A$16)-5)</f>
        <v>GSTN</v>
      </c>
      <c r="F14" s="49">
        <f>'UI Avoided Pricing'!$F$17/100</f>
        <v>0.34287967480996229</v>
      </c>
      <c r="G14" s="49">
        <f>'UI Avoided Pricing'!$G$17/100</f>
        <v>0.25189392389616172</v>
      </c>
      <c r="H14" s="24" t="s">
        <v>43</v>
      </c>
      <c r="I14" s="45">
        <v>0.3</v>
      </c>
      <c r="L14" s="47"/>
    </row>
    <row r="15" spans="1:17">
      <c r="A15" s="50" t="str">
        <f>RIGHT('CL&amp;P Avoided Pricing'!$A$22,LEN('CL&amp;P Avoided Pricing'!$A$22)-5)</f>
        <v>30</v>
      </c>
      <c r="B15" s="49">
        <f>'CL&amp;P Avoided Pricing'!$F$22/100</f>
        <v>0.13930000000000001</v>
      </c>
      <c r="C15" s="49">
        <f>'CL&amp;P Avoided Pricing'!$G$22/100</f>
        <v>0.13930000000000001</v>
      </c>
      <c r="E15" s="24" t="str">
        <f>RIGHT('UI Avoided Pricing'!$A$20,LEN('UI Avoided Pricing'!$A$20)-5)</f>
        <v>GST-SS</v>
      </c>
      <c r="F15" s="49">
        <f>'UI Avoided Pricing'!$F$21/100</f>
        <v>0.17281572991508817</v>
      </c>
      <c r="G15" s="49">
        <f>'UI Avoided Pricing'!$G$21/100</f>
        <v>0.1565821848692566</v>
      </c>
      <c r="L15" s="47"/>
    </row>
    <row r="16" spans="1:17">
      <c r="A16" s="50" t="s">
        <v>44</v>
      </c>
      <c r="B16" s="49">
        <f>'CL&amp;P Avoided Pricing'!F24/100</f>
        <v>0.15773000000000001</v>
      </c>
      <c r="C16" s="49">
        <f>'CL&amp;P Avoided Pricing'!G24/100</f>
        <v>0.15773000000000001</v>
      </c>
      <c r="E16" s="24" t="str">
        <f>RIGHT('UI Avoided Pricing'!$A$24,LEN('UI Avoided Pricing'!$A$24)-5)</f>
        <v>LPT-SS</v>
      </c>
      <c r="F16" s="49">
        <f>'UI Avoided Pricing'!$F$25/100</f>
        <v>0.15954050444462664</v>
      </c>
      <c r="G16" s="49">
        <f>'UI Avoided Pricing'!$G$25/100</f>
        <v>0.15075365725167519</v>
      </c>
      <c r="L16" s="47"/>
    </row>
    <row r="17" spans="1:16">
      <c r="A17" s="50" t="str">
        <f>RIGHT('CL&amp;P Avoided Pricing'!$A$26,LEN('CL&amp;P Avoided Pricing'!$A$26)-5)</f>
        <v>35</v>
      </c>
      <c r="B17" s="49">
        <f>'CL&amp;P Avoided Pricing'!$F$26/100</f>
        <v>0.13638999999999998</v>
      </c>
      <c r="C17" s="49">
        <f>'CL&amp;P Avoided Pricing'!$G$26/100</f>
        <v>0.13638999999999998</v>
      </c>
      <c r="E17" s="24" t="str">
        <f>RIGHT('UI Avoided Pricing'!$A$28,LEN('UI Avoided Pricing'!$A$28)-5)</f>
        <v>GST-LRS</v>
      </c>
      <c r="F17" s="49">
        <f>'UI Avoided Pricing'!$F$29/100</f>
        <v>0.19180786602527886</v>
      </c>
      <c r="G17" s="49">
        <f>'UI Avoided Pricing'!$G$29/100</f>
        <v>0.19064287653494671</v>
      </c>
      <c r="L17" s="47"/>
    </row>
    <row r="18" spans="1:16">
      <c r="A18" s="50" t="str">
        <f>RIGHT('CL&amp;P Avoided Pricing'!$A$28,LEN('CL&amp;P Avoided Pricing'!$A$28)-5)</f>
        <v>37</v>
      </c>
      <c r="B18" s="49">
        <f>'CL&amp;P Avoided Pricing'!$F$29/100</f>
        <v>0.15885549076849037</v>
      </c>
      <c r="C18" s="49">
        <f>'CL&amp;P Avoided Pricing'!$G$29/100</f>
        <v>0.14829680000000001</v>
      </c>
      <c r="E18" s="24" t="str">
        <f>RIGHT('UI Avoided Pricing'!$A$32,LEN('UI Avoided Pricing'!$A$32)-5)</f>
        <v>LPT-LRS</v>
      </c>
      <c r="F18" s="49">
        <f>'UI Avoided Pricing'!$F$33/100</f>
        <v>0.16596781340867403</v>
      </c>
      <c r="G18" s="49">
        <f>'UI Avoided Pricing'!$G$33/100</f>
        <v>0.16480282391834186</v>
      </c>
      <c r="L18" s="47"/>
    </row>
    <row r="19" spans="1:16">
      <c r="A19" s="50" t="str">
        <f>RIGHT('CL&amp;P Avoided Pricing'!$A$32,LEN('CL&amp;P Avoided Pricing'!$A$32)-5)</f>
        <v>40</v>
      </c>
      <c r="B19" s="49">
        <f>'CL&amp;P Avoided Pricing'!$F$32/100</f>
        <v>0.23494999999999996</v>
      </c>
      <c r="C19" s="49">
        <f>'CL&amp;P Avoided Pricing'!$G$32/100</f>
        <v>0.23494999999999996</v>
      </c>
    </row>
    <row r="20" spans="1:16">
      <c r="A20" s="50" t="str">
        <f>RIGHT('CL&amp;P Avoided Pricing'!$A$34,LEN('CL&amp;P Avoided Pricing'!$A$34)-5)</f>
        <v>41</v>
      </c>
      <c r="B20" s="49">
        <f>'CL&amp;P Avoided Pricing'!$F$35/100</f>
        <v>0.22160078191665442</v>
      </c>
      <c r="C20" s="49">
        <f>'CL&amp;P Avoided Pricing'!$G$35/100</f>
        <v>0.21012920000000002</v>
      </c>
      <c r="L20" s="47"/>
    </row>
    <row r="21" spans="1:16">
      <c r="A21" s="50" t="str">
        <f>RIGHT('CL&amp;P Avoided Pricing'!$A$38,LEN('CL&amp;P Avoided Pricing'!$A$38)-5)</f>
        <v>55</v>
      </c>
      <c r="B21" s="49">
        <f>'CL&amp;P Avoided Pricing'!$F$39/100</f>
        <v>0.13971701446499474</v>
      </c>
      <c r="C21" s="49">
        <f>'CL&amp;P Avoided Pricing'!$G$39/100</f>
        <v>0.13227319999999998</v>
      </c>
      <c r="J21" s="47"/>
      <c r="K21" s="47"/>
      <c r="L21" s="47"/>
      <c r="M21" s="47"/>
      <c r="N21" s="47"/>
      <c r="O21" s="47"/>
      <c r="P21" s="47"/>
    </row>
    <row r="22" spans="1:16">
      <c r="A22" s="50" t="str">
        <f>RIGHT('CL&amp;P Avoided Pricing'!$A$42,LEN('CL&amp;P Avoided Pricing'!$A$42)-5)</f>
        <v>56</v>
      </c>
      <c r="B22" s="49">
        <f>'CL&amp;P Avoided Pricing'!$F$43/100</f>
        <v>0.13998876268874103</v>
      </c>
      <c r="C22" s="49">
        <f>'CL&amp;P Avoided Pricing'!$G$43/100</f>
        <v>0.13243240000000001</v>
      </c>
      <c r="J22" s="77"/>
      <c r="K22" s="68"/>
      <c r="L22" s="47"/>
      <c r="M22" s="74"/>
      <c r="N22" s="77"/>
      <c r="O22" s="76"/>
      <c r="P22" s="77"/>
    </row>
    <row r="23" spans="1:16">
      <c r="A23" s="50" t="str">
        <f>RIGHT('CL&amp;P Avoided Pricing'!$A$46,LEN('CL&amp;P Avoided Pricing'!$A$46)-5)</f>
        <v>57</v>
      </c>
      <c r="B23" s="49">
        <f>'CL&amp;P Avoided Pricing'!$F$47/100</f>
        <v>0.13718097768388327</v>
      </c>
      <c r="C23" s="49">
        <f>'CL&amp;P Avoided Pricing'!$G$47/100</f>
        <v>0.13180680000000003</v>
      </c>
      <c r="J23" s="77"/>
      <c r="K23" s="68"/>
      <c r="L23" s="47"/>
      <c r="M23" s="74"/>
      <c r="N23" s="77"/>
      <c r="O23" s="76"/>
      <c r="P23" s="77"/>
    </row>
    <row r="24" spans="1:16">
      <c r="A24" s="50" t="str">
        <f>RIGHT('CL&amp;P Avoided Pricing'!$A$50,LEN('CL&amp;P Avoided Pricing'!$A$50)-5)</f>
        <v>58</v>
      </c>
      <c r="B24" s="49">
        <f>'CL&amp;P Avoided Pricing'!$F$51/100</f>
        <v>0.13660593496880491</v>
      </c>
      <c r="C24" s="49">
        <f>'CL&amp;P Avoided Pricing'!$G$51/100</f>
        <v>0.13131199999999998</v>
      </c>
      <c r="J24" s="77"/>
      <c r="K24" s="68"/>
      <c r="L24" s="47"/>
      <c r="M24" s="74"/>
      <c r="N24" s="77"/>
      <c r="O24" s="76"/>
      <c r="P24" s="77"/>
    </row>
    <row r="25" spans="1:16">
      <c r="E25" s="53"/>
      <c r="J25" s="77"/>
      <c r="K25" s="68"/>
      <c r="L25" s="47"/>
      <c r="M25" s="74"/>
      <c r="N25" s="77"/>
      <c r="O25" s="76"/>
      <c r="P25" s="77"/>
    </row>
    <row r="26" spans="1:16" ht="45">
      <c r="B26" s="51" t="s">
        <v>45</v>
      </c>
      <c r="D26" s="51" t="s">
        <v>46</v>
      </c>
      <c r="F26" s="51" t="s">
        <v>47</v>
      </c>
      <c r="G26" s="55"/>
      <c r="J26" s="77"/>
      <c r="K26" s="68"/>
      <c r="L26" s="75"/>
      <c r="M26" s="74"/>
      <c r="N26" s="77"/>
      <c r="O26" s="76"/>
      <c r="P26" s="77"/>
    </row>
    <row r="27" spans="1:16">
      <c r="B27" s="52"/>
      <c r="C27" s="53"/>
      <c r="D27" s="54"/>
      <c r="G27" s="55"/>
      <c r="J27" s="77"/>
      <c r="K27" s="68"/>
      <c r="L27" s="47"/>
      <c r="M27" s="74"/>
      <c r="N27" s="77"/>
      <c r="O27" s="76"/>
      <c r="P27" s="77"/>
    </row>
    <row r="28" spans="1:16">
      <c r="A28" s="24" t="s">
        <v>48</v>
      </c>
      <c r="B28" s="52">
        <f>IF(AND(Calculator!B13="Eversource",Calculator!B14="Solar"),VLOOKUP(Calculator!B15,'Calculation Sheet'!A9:B24,2,FALSE)*1000,IF(AND(Calculator!B13="Eversource",Calculator!B14="Other"),VLOOKUP(Calculator!B15,'Calculation Sheet'!A9:C24,3,FALSE)*1000,IF(AND(Calculator!B13="United Illuminating",Calculator!B14="Solar"),VLOOKUP(Calculator!B15,'Calculation Sheet'!E9:F18,2,FALSE)*1000,IF(AND(Calculator!B13="United Illuminating",Calculator!B14="Other"),VLOOKUP(Calculator!B15,'Calculation Sheet'!E9:G18,3,FALSE)*1000))))</f>
        <v>164.80282391834186</v>
      </c>
      <c r="D28" s="38">
        <v>1</v>
      </c>
      <c r="F28" s="53">
        <f>NPV(Discount_Rate,B28:B47)/NPV(Discount_Rate,D28:D47)</f>
        <v>199.3098859263572</v>
      </c>
      <c r="G28" s="55"/>
      <c r="I28" s="53"/>
      <c r="J28" s="77"/>
      <c r="K28" s="68"/>
      <c r="L28" s="75"/>
      <c r="M28" s="74"/>
      <c r="N28" s="77"/>
      <c r="O28" s="76"/>
      <c r="P28" s="77"/>
    </row>
    <row r="29" spans="1:16">
      <c r="A29" s="24" t="s">
        <v>49</v>
      </c>
      <c r="B29" s="56">
        <f t="shared" ref="B29:B47" si="0">B28*(1+Retail_Rate_Escalation)</f>
        <v>168.9228945163004</v>
      </c>
      <c r="D29" s="38">
        <f>D28</f>
        <v>1</v>
      </c>
      <c r="G29" s="55"/>
      <c r="I29" s="53"/>
      <c r="J29" s="77"/>
      <c r="K29" s="68"/>
      <c r="L29" s="47"/>
      <c r="M29" s="74"/>
      <c r="N29" s="77"/>
      <c r="O29" s="76"/>
      <c r="P29" s="77"/>
    </row>
    <row r="30" spans="1:16">
      <c r="A30" s="24" t="s">
        <v>50</v>
      </c>
      <c r="B30" s="56">
        <f t="shared" si="0"/>
        <v>173.14596687920789</v>
      </c>
      <c r="D30" s="38">
        <f t="shared" ref="D30:D47" si="1">D29</f>
        <v>1</v>
      </c>
      <c r="G30" s="55"/>
      <c r="I30" s="53"/>
      <c r="J30" s="77"/>
      <c r="K30" s="68"/>
      <c r="L30" s="47"/>
      <c r="M30" s="74"/>
      <c r="N30" s="77"/>
      <c r="O30" s="76"/>
      <c r="P30" s="77"/>
    </row>
    <row r="31" spans="1:16">
      <c r="A31" s="24" t="s">
        <v>51</v>
      </c>
      <c r="B31" s="56">
        <f t="shared" si="0"/>
        <v>177.47461605118806</v>
      </c>
      <c r="D31" s="38">
        <f t="shared" si="1"/>
        <v>1</v>
      </c>
      <c r="G31" s="55"/>
      <c r="I31" s="53"/>
      <c r="J31" s="77"/>
      <c r="K31" s="68"/>
      <c r="L31" s="47"/>
      <c r="M31" s="74"/>
      <c r="N31" s="77"/>
      <c r="O31" s="76"/>
      <c r="P31" s="77"/>
    </row>
    <row r="32" spans="1:16">
      <c r="A32" s="24" t="s">
        <v>52</v>
      </c>
      <c r="B32" s="56">
        <f t="shared" si="0"/>
        <v>181.91148145246774</v>
      </c>
      <c r="D32" s="38">
        <f t="shared" si="1"/>
        <v>1</v>
      </c>
      <c r="G32" s="55"/>
      <c r="I32" s="53"/>
      <c r="J32" s="77"/>
      <c r="K32" s="68"/>
      <c r="L32" s="47"/>
      <c r="M32" s="74"/>
      <c r="N32" s="77"/>
      <c r="O32" s="76"/>
      <c r="P32" s="77"/>
    </row>
    <row r="33" spans="1:16">
      <c r="A33" s="24" t="s">
        <v>53</v>
      </c>
      <c r="B33" s="56">
        <f t="shared" si="0"/>
        <v>186.45926848877943</v>
      </c>
      <c r="D33" s="38">
        <f t="shared" si="1"/>
        <v>1</v>
      </c>
      <c r="G33" s="55"/>
      <c r="I33" s="53"/>
      <c r="J33" s="77"/>
      <c r="K33" s="68"/>
      <c r="L33" s="47"/>
      <c r="M33" s="74"/>
      <c r="N33" s="77"/>
      <c r="O33" s="76"/>
      <c r="P33" s="77"/>
    </row>
    <row r="34" spans="1:16">
      <c r="A34" s="24" t="s">
        <v>54</v>
      </c>
      <c r="B34" s="56">
        <f t="shared" si="0"/>
        <v>191.12075020099888</v>
      </c>
      <c r="D34" s="38">
        <f t="shared" si="1"/>
        <v>1</v>
      </c>
      <c r="G34" s="55"/>
      <c r="I34" s="53"/>
      <c r="J34" s="77"/>
      <c r="K34" s="68"/>
      <c r="L34" s="47"/>
      <c r="M34" s="74"/>
      <c r="N34" s="77"/>
      <c r="O34" s="76"/>
      <c r="P34" s="77"/>
    </row>
    <row r="35" spans="1:16">
      <c r="A35" s="24" t="s">
        <v>55</v>
      </c>
      <c r="B35" s="56">
        <f t="shared" si="0"/>
        <v>195.89876895602384</v>
      </c>
      <c r="D35" s="38">
        <f t="shared" si="1"/>
        <v>1</v>
      </c>
      <c r="G35" s="55"/>
      <c r="I35" s="53"/>
      <c r="J35" s="77"/>
      <c r="K35" s="68"/>
      <c r="L35" s="47"/>
      <c r="M35" s="74"/>
      <c r="N35" s="77"/>
      <c r="O35" s="76"/>
      <c r="P35" s="77"/>
    </row>
    <row r="36" spans="1:16">
      <c r="A36" s="24" t="s">
        <v>56</v>
      </c>
      <c r="B36" s="56">
        <f t="shared" si="0"/>
        <v>200.79623817992442</v>
      </c>
      <c r="D36" s="38">
        <f t="shared" si="1"/>
        <v>1</v>
      </c>
      <c r="G36" s="55"/>
      <c r="I36" s="53"/>
      <c r="J36" s="77"/>
      <c r="K36" s="68"/>
      <c r="L36" s="47"/>
      <c r="M36" s="74"/>
      <c r="N36" s="77"/>
      <c r="O36" s="76"/>
      <c r="P36" s="77"/>
    </row>
    <row r="37" spans="1:16">
      <c r="A37" s="24" t="s">
        <v>57</v>
      </c>
      <c r="B37" s="56">
        <f t="shared" si="0"/>
        <v>205.8161441344225</v>
      </c>
      <c r="D37" s="38">
        <f t="shared" si="1"/>
        <v>1</v>
      </c>
      <c r="G37" s="55"/>
      <c r="I37" s="53"/>
    </row>
    <row r="38" spans="1:16">
      <c r="A38" s="24" t="s">
        <v>58</v>
      </c>
      <c r="B38" s="56">
        <f t="shared" si="0"/>
        <v>210.96154773778304</v>
      </c>
      <c r="D38" s="38">
        <f t="shared" si="1"/>
        <v>1</v>
      </c>
      <c r="G38" s="55"/>
      <c r="I38" s="53"/>
    </row>
    <row r="39" spans="1:16">
      <c r="A39" s="24" t="s">
        <v>59</v>
      </c>
      <c r="B39" s="56">
        <f t="shared" si="0"/>
        <v>216.2355864312276</v>
      </c>
      <c r="D39" s="38">
        <f t="shared" si="1"/>
        <v>1</v>
      </c>
      <c r="G39" s="55"/>
      <c r="I39" s="53"/>
    </row>
    <row r="40" spans="1:16">
      <c r="A40" s="24" t="s">
        <v>60</v>
      </c>
      <c r="B40" s="56">
        <f t="shared" si="0"/>
        <v>221.64147609200828</v>
      </c>
      <c r="D40" s="38">
        <f t="shared" si="1"/>
        <v>1</v>
      </c>
      <c r="G40" s="55"/>
      <c r="I40" s="53"/>
    </row>
    <row r="41" spans="1:16">
      <c r="A41" s="24" t="s">
        <v>61</v>
      </c>
      <c r="B41" s="56">
        <f t="shared" si="0"/>
        <v>227.18251299430847</v>
      </c>
      <c r="D41" s="38">
        <f t="shared" si="1"/>
        <v>1</v>
      </c>
      <c r="G41" s="55"/>
      <c r="I41" s="53"/>
    </row>
    <row r="42" spans="1:16">
      <c r="A42" s="24" t="s">
        <v>62</v>
      </c>
      <c r="B42" s="56">
        <f t="shared" si="0"/>
        <v>232.86207581916617</v>
      </c>
      <c r="D42" s="38">
        <f t="shared" si="1"/>
        <v>1</v>
      </c>
      <c r="G42" s="55"/>
      <c r="I42" s="53"/>
    </row>
    <row r="43" spans="1:16">
      <c r="A43" s="24" t="s">
        <v>63</v>
      </c>
      <c r="B43" s="56">
        <f t="shared" si="0"/>
        <v>238.6836277146453</v>
      </c>
      <c r="D43" s="38">
        <f t="shared" si="1"/>
        <v>1</v>
      </c>
      <c r="G43" s="55"/>
      <c r="I43" s="53"/>
    </row>
    <row r="44" spans="1:16">
      <c r="A44" s="24" t="s">
        <v>64</v>
      </c>
      <c r="B44" s="56">
        <f t="shared" si="0"/>
        <v>244.65071840751142</v>
      </c>
      <c r="D44" s="38">
        <f t="shared" si="1"/>
        <v>1</v>
      </c>
      <c r="G44" s="55"/>
      <c r="I44" s="53"/>
    </row>
    <row r="45" spans="1:16">
      <c r="A45" s="24" t="s">
        <v>65</v>
      </c>
      <c r="B45" s="56">
        <f t="shared" si="0"/>
        <v>250.76698636769919</v>
      </c>
      <c r="D45" s="38">
        <f t="shared" si="1"/>
        <v>1</v>
      </c>
      <c r="G45" s="55"/>
      <c r="I45" s="53"/>
    </row>
    <row r="46" spans="1:16">
      <c r="A46" s="24" t="s">
        <v>66</v>
      </c>
      <c r="B46" s="56">
        <f t="shared" si="0"/>
        <v>257.03616102689165</v>
      </c>
      <c r="D46" s="38">
        <f t="shared" si="1"/>
        <v>1</v>
      </c>
      <c r="G46" s="55"/>
      <c r="I46" s="53"/>
    </row>
    <row r="47" spans="1:16">
      <c r="A47" s="24" t="s">
        <v>67</v>
      </c>
      <c r="B47" s="56">
        <f t="shared" si="0"/>
        <v>263.4620650525639</v>
      </c>
      <c r="D47" s="38">
        <f t="shared" si="1"/>
        <v>1</v>
      </c>
      <c r="I47" s="53"/>
    </row>
    <row r="48" spans="1:16">
      <c r="I48" s="53"/>
    </row>
  </sheetData>
  <sheetProtection algorithmName="SHA-512" hashValue="zShx3YcMlNSQeXaTBLfS6eO/DesSEffwspv7gdXRQrTxOEeIWJzKQMg8OjhckPQx8xMJn6TpGe8bwFQmqrf2iw==" saltValue="8dLARvgvTFdCuF0I5ChzVg==" spinCount="100000" sheet="1" objects="1" scenarios="1"/>
  <phoneticPr fontId="2" type="noConversion"/>
  <pageMargins left="0.7" right="0.7" top="1.1776041666666666" bottom="0.75" header="0.3" footer="0.3"/>
  <pageSetup scale="76" fitToHeight="0" orientation="landscape" r:id="rId1"/>
  <headerFooter>
    <oddHeader>&amp;RThe Connecticut Light and Power Company dba Eversource Energy &amp; The United Illuminating Company
Docket No. 25-08-03
January 28, 2026
Compliance with Motion No. 11, Attachment 9
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63C3E-8E52-4F7B-8D94-19E26D7831B8}">
  <sheetPr codeName="Sheet4"/>
  <dimension ref="A1:M56"/>
  <sheetViews>
    <sheetView view="pageLayout" zoomScaleNormal="100" workbookViewId="0">
      <selection activeCell="G4" sqref="G4"/>
    </sheetView>
  </sheetViews>
  <sheetFormatPr defaultColWidth="9.28515625" defaultRowHeight="15"/>
  <cols>
    <col min="1" max="1" width="12.28515625" style="38" customWidth="1"/>
    <col min="2" max="2" width="12.7109375" style="24" customWidth="1"/>
    <col min="3" max="3" width="10.7109375" style="24" customWidth="1"/>
    <col min="4" max="4" width="11.7109375" style="39" customWidth="1"/>
    <col min="5" max="5" width="14.7109375" style="39" customWidth="1"/>
    <col min="6" max="7" width="14.7109375" style="40" customWidth="1"/>
    <col min="8" max="16384" width="9.28515625" style="24"/>
  </cols>
  <sheetData>
    <row r="1" spans="1:13">
      <c r="A1" s="166" t="s">
        <v>68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>
      <c r="A2" s="167" t="s">
        <v>69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4" spans="1:13" ht="63">
      <c r="A4" s="25" t="s">
        <v>70</v>
      </c>
      <c r="B4" s="26" t="s">
        <v>71</v>
      </c>
      <c r="C4" s="26" t="s">
        <v>72</v>
      </c>
      <c r="D4" s="26" t="s">
        <v>73</v>
      </c>
      <c r="E4" s="26" t="s">
        <v>74</v>
      </c>
      <c r="F4" s="26" t="s">
        <v>75</v>
      </c>
      <c r="G4" s="26" t="s">
        <v>76</v>
      </c>
    </row>
    <row r="5" spans="1:13" ht="15" customHeight="1">
      <c r="A5" s="25"/>
      <c r="B5" s="26"/>
      <c r="C5" s="26"/>
      <c r="D5" s="26"/>
      <c r="E5" s="26"/>
      <c r="F5" s="26"/>
      <c r="G5" s="26"/>
    </row>
    <row r="6" spans="1:13" ht="15" customHeight="1">
      <c r="A6" s="29" t="s">
        <v>77</v>
      </c>
      <c r="B6" s="88">
        <v>10.468999999999999</v>
      </c>
      <c r="C6" s="88">
        <v>-0.5</v>
      </c>
      <c r="D6" s="59">
        <f>B6+C6</f>
        <v>9.9689999999999994</v>
      </c>
      <c r="E6" s="88">
        <v>18.338999999999999</v>
      </c>
      <c r="F6" s="65">
        <f>SUM(D6:E6)</f>
        <v>28.308</v>
      </c>
      <c r="G6" s="65">
        <f>F6</f>
        <v>28.308</v>
      </c>
    </row>
    <row r="7" spans="1:13" ht="15" customHeight="1">
      <c r="A7" s="25"/>
      <c r="B7" s="88"/>
      <c r="C7" s="88"/>
      <c r="D7" s="59"/>
      <c r="E7" s="88"/>
      <c r="F7" s="60"/>
      <c r="G7" s="60"/>
    </row>
    <row r="8" spans="1:13" ht="15" customHeight="1">
      <c r="A8" s="29" t="s">
        <v>78</v>
      </c>
      <c r="B8" s="88">
        <v>10.468999999999999</v>
      </c>
      <c r="C8" s="88">
        <v>-0.5</v>
      </c>
      <c r="D8" s="59">
        <f>B8+C8</f>
        <v>9.9689999999999994</v>
      </c>
      <c r="E8" s="88">
        <v>15.813000000000001</v>
      </c>
      <c r="F8" s="65">
        <f>SUM(D8:E8)</f>
        <v>25.782</v>
      </c>
      <c r="G8" s="65">
        <f>F8</f>
        <v>25.782</v>
      </c>
    </row>
    <row r="9" spans="1:13" ht="15" customHeight="1">
      <c r="A9" s="25"/>
      <c r="B9" s="88"/>
      <c r="C9" s="88"/>
      <c r="D9" s="59"/>
      <c r="E9" s="88"/>
      <c r="F9" s="60"/>
      <c r="G9" s="60"/>
    </row>
    <row r="10" spans="1:13" ht="15" customHeight="1">
      <c r="A10" s="29" t="s">
        <v>79</v>
      </c>
      <c r="B10" s="88"/>
      <c r="C10" s="88"/>
      <c r="D10" s="89"/>
      <c r="E10" s="88"/>
      <c r="F10" s="60"/>
      <c r="G10" s="60"/>
    </row>
    <row r="11" spans="1:13" ht="15" customHeight="1">
      <c r="A11" s="31" t="s">
        <v>80</v>
      </c>
      <c r="B11" s="88">
        <v>13.045</v>
      </c>
      <c r="C11" s="88">
        <f>$C$6</f>
        <v>-0.5</v>
      </c>
      <c r="D11" s="59">
        <f t="shared" ref="D11:D12" si="0">B11+C11</f>
        <v>12.545</v>
      </c>
      <c r="E11" s="88">
        <v>27.407</v>
      </c>
      <c r="F11" s="65">
        <f>SUM($D11:$E11)*'Calculation Sheet'!B$5+SUM($D12:$E12)*(1-'Calculation Sheet'!B$5)</f>
        <v>29.166899340491444</v>
      </c>
      <c r="G11" s="65">
        <f>SUM($D11:$E11)*'Calculation Sheet'!C$5+SUM($D12:$E12)*(1-'Calculation Sheet'!C$5)</f>
        <v>27.453040000000001</v>
      </c>
    </row>
    <row r="12" spans="1:13" ht="15" customHeight="1">
      <c r="A12" s="31" t="s">
        <v>81</v>
      </c>
      <c r="B12" s="88">
        <v>9.5449999999999999</v>
      </c>
      <c r="C12" s="88">
        <f>$C$6</f>
        <v>-0.5</v>
      </c>
      <c r="D12" s="59">
        <f t="shared" si="0"/>
        <v>9.0449999999999999</v>
      </c>
      <c r="E12" s="88">
        <v>14.461</v>
      </c>
      <c r="F12" s="62"/>
      <c r="G12" s="62"/>
    </row>
    <row r="13" spans="1:13" ht="15" customHeight="1">
      <c r="A13" s="25"/>
      <c r="B13" s="88"/>
      <c r="C13" s="88"/>
      <c r="D13" s="60"/>
      <c r="E13" s="88"/>
      <c r="F13" s="60"/>
      <c r="G13" s="60"/>
    </row>
    <row r="14" spans="1:13" ht="15" customHeight="1">
      <c r="A14" s="29" t="s">
        <v>82</v>
      </c>
      <c r="B14" s="88"/>
      <c r="C14" s="88"/>
      <c r="D14" s="61"/>
      <c r="E14" s="88"/>
      <c r="F14" s="61"/>
      <c r="G14" s="61"/>
    </row>
    <row r="15" spans="1:13" ht="15" customHeight="1">
      <c r="A15" s="31" t="s">
        <v>80</v>
      </c>
      <c r="B15" s="88">
        <v>12.28</v>
      </c>
      <c r="C15" s="88">
        <f>$C$6</f>
        <v>-0.5</v>
      </c>
      <c r="D15" s="59">
        <f t="shared" ref="D15:D16" si="1">B15+C15</f>
        <v>11.78</v>
      </c>
      <c r="E15" s="88">
        <v>11.587</v>
      </c>
      <c r="F15" s="65">
        <f>SUM($D15:$E15)*'Calculation Sheet'!B$5+SUM($D16:$E16)*(1-'Calculation Sheet'!B$5)</f>
        <v>16.336945331999772</v>
      </c>
      <c r="G15" s="65">
        <f>SUM($D15:$E15)*'Calculation Sheet'!C$5+SUM($D16:$E16)*(1-'Calculation Sheet'!C$5)</f>
        <v>15.219799999999998</v>
      </c>
    </row>
    <row r="16" spans="1:13" ht="15" customHeight="1">
      <c r="A16" s="31" t="s">
        <v>81</v>
      </c>
      <c r="B16" s="88">
        <v>9.2799999999999994</v>
      </c>
      <c r="C16" s="88">
        <f>$C$6</f>
        <v>-0.5</v>
      </c>
      <c r="D16" s="59">
        <f t="shared" si="1"/>
        <v>8.7799999999999994</v>
      </c>
      <c r="E16" s="88">
        <v>3.867</v>
      </c>
      <c r="F16" s="62"/>
      <c r="G16" s="62"/>
    </row>
    <row r="17" spans="1:7" ht="15" customHeight="1">
      <c r="A17" s="31"/>
      <c r="B17" s="88"/>
      <c r="C17" s="88"/>
      <c r="D17" s="59"/>
      <c r="E17" s="88"/>
      <c r="F17" s="62"/>
      <c r="G17" s="62"/>
    </row>
    <row r="18" spans="1:7" ht="15" customHeight="1">
      <c r="A18" s="29" t="s">
        <v>83</v>
      </c>
      <c r="B18" s="88"/>
      <c r="C18" s="88"/>
      <c r="D18" s="59"/>
      <c r="E18" s="88"/>
      <c r="F18" s="62"/>
      <c r="G18" s="62"/>
    </row>
    <row r="19" spans="1:7" ht="15" customHeight="1">
      <c r="A19" s="31" t="s">
        <v>80</v>
      </c>
      <c r="B19" s="88">
        <v>12.28</v>
      </c>
      <c r="C19" s="88">
        <f>$C$6</f>
        <v>-0.5</v>
      </c>
      <c r="D19" s="59">
        <f>B19+C19</f>
        <v>11.78</v>
      </c>
      <c r="E19" s="88">
        <v>15.712999999999999</v>
      </c>
      <c r="F19" s="65">
        <f>SUM($D19:$E19)*'Calculation Sheet'!B$5+SUM($D20:$E20)*(1-'Calculation Sheet'!B$5)</f>
        <v>18.361798395780301</v>
      </c>
      <c r="G19" s="65">
        <f>SUM($D19:$E19)*'Calculation Sheet'!C$5+SUM($D20:$E20)*(1-'Calculation Sheet'!C$5)</f>
        <v>16.910759999999996</v>
      </c>
    </row>
    <row r="20" spans="1:7" ht="15" customHeight="1">
      <c r="A20" s="31" t="s">
        <v>81</v>
      </c>
      <c r="B20" s="88">
        <v>9.2799999999999994</v>
      </c>
      <c r="C20" s="88">
        <f>$C$6</f>
        <v>-0.5</v>
      </c>
      <c r="D20" s="59">
        <f>B20+C20</f>
        <v>8.7799999999999994</v>
      </c>
      <c r="E20" s="88">
        <v>4.7889999999999997</v>
      </c>
      <c r="F20" s="62"/>
      <c r="G20" s="62"/>
    </row>
    <row r="21" spans="1:7" ht="15" customHeight="1">
      <c r="A21" s="31"/>
      <c r="B21" s="88"/>
      <c r="C21" s="88"/>
      <c r="D21" s="62"/>
      <c r="E21" s="88"/>
      <c r="F21" s="62"/>
      <c r="G21" s="62"/>
    </row>
    <row r="22" spans="1:7" ht="15" customHeight="1">
      <c r="A22" s="29" t="s">
        <v>84</v>
      </c>
      <c r="B22" s="88">
        <v>10.132999999999999</v>
      </c>
      <c r="C22" s="88">
        <f>$C$6</f>
        <v>-0.5</v>
      </c>
      <c r="D22" s="59">
        <f>B22+C22</f>
        <v>9.6329999999999991</v>
      </c>
      <c r="E22" s="88">
        <v>4.2969999999999997</v>
      </c>
      <c r="F22" s="65">
        <f>SUM(D22:E22)</f>
        <v>13.93</v>
      </c>
      <c r="G22" s="65">
        <f>F22</f>
        <v>13.93</v>
      </c>
    </row>
    <row r="23" spans="1:7" ht="15" customHeight="1">
      <c r="A23" s="31"/>
      <c r="B23" s="88"/>
      <c r="C23" s="88"/>
      <c r="D23" s="59"/>
      <c r="E23" s="88"/>
      <c r="F23" s="65"/>
      <c r="G23" s="65"/>
    </row>
    <row r="24" spans="1:7" ht="15" customHeight="1">
      <c r="A24" s="29" t="s">
        <v>85</v>
      </c>
      <c r="B24" s="88">
        <v>10.132999999999999</v>
      </c>
      <c r="C24" s="88">
        <f>$C$6</f>
        <v>-0.5</v>
      </c>
      <c r="D24" s="59">
        <f>B24+C24</f>
        <v>9.6329999999999991</v>
      </c>
      <c r="E24" s="88">
        <v>6.14</v>
      </c>
      <c r="F24" s="65">
        <f>SUM(D24:E24)</f>
        <v>15.773</v>
      </c>
      <c r="G24" s="65">
        <f>F24</f>
        <v>15.773</v>
      </c>
    </row>
    <row r="25" spans="1:7" ht="15" customHeight="1">
      <c r="A25" s="31"/>
      <c r="B25" s="88"/>
      <c r="C25" s="88"/>
      <c r="D25" s="63"/>
      <c r="E25" s="88"/>
      <c r="F25" s="66"/>
      <c r="G25" s="66"/>
    </row>
    <row r="26" spans="1:7" ht="15" customHeight="1">
      <c r="A26" s="29" t="s">
        <v>86</v>
      </c>
      <c r="B26" s="88">
        <v>10.132999999999999</v>
      </c>
      <c r="C26" s="88">
        <f>$C$6</f>
        <v>-0.5</v>
      </c>
      <c r="D26" s="59">
        <f>B26+C26</f>
        <v>9.6329999999999991</v>
      </c>
      <c r="E26" s="88">
        <v>4.0060000000000002</v>
      </c>
      <c r="F26" s="65">
        <f>SUM(D26:E26)</f>
        <v>13.638999999999999</v>
      </c>
      <c r="G26" s="65">
        <f>F26</f>
        <v>13.638999999999999</v>
      </c>
    </row>
    <row r="27" spans="1:7" ht="15" customHeight="1">
      <c r="A27" s="31"/>
      <c r="B27" s="88"/>
      <c r="C27" s="88"/>
      <c r="D27" s="63"/>
      <c r="E27" s="88"/>
      <c r="F27" s="66"/>
      <c r="G27" s="66"/>
    </row>
    <row r="28" spans="1:7" ht="15" customHeight="1">
      <c r="A28" s="29" t="s">
        <v>87</v>
      </c>
      <c r="B28" s="88"/>
      <c r="C28" s="88"/>
      <c r="D28" s="63"/>
      <c r="E28" s="88"/>
      <c r="F28" s="66"/>
      <c r="G28" s="66"/>
    </row>
    <row r="29" spans="1:7" ht="15" customHeight="1">
      <c r="A29" s="31" t="s">
        <v>80</v>
      </c>
      <c r="B29" s="88">
        <v>12.28</v>
      </c>
      <c r="C29" s="88">
        <f>$C$6</f>
        <v>-0.5</v>
      </c>
      <c r="D29" s="59">
        <f t="shared" ref="D29:D30" si="2">B29+C29</f>
        <v>11.78</v>
      </c>
      <c r="E29" s="88">
        <v>10.75</v>
      </c>
      <c r="F29" s="65">
        <f>SUM($D29:$E29)*'Calculation Sheet'!B$5+SUM($D30:$E30)*(1-'Calculation Sheet'!B$5)</f>
        <v>15.885549076849038</v>
      </c>
      <c r="G29" s="65">
        <f>SUM($D29:$E29)*'Calculation Sheet'!C$5+SUM($D30:$E30)*(1-'Calculation Sheet'!C$5)</f>
        <v>14.82968</v>
      </c>
    </row>
    <row r="30" spans="1:7" ht="15" customHeight="1">
      <c r="A30" s="31" t="s">
        <v>81</v>
      </c>
      <c r="B30" s="88">
        <v>9.2799999999999994</v>
      </c>
      <c r="C30" s="88">
        <f>$C$6</f>
        <v>-0.5</v>
      </c>
      <c r="D30" s="59">
        <f t="shared" si="2"/>
        <v>8.7799999999999994</v>
      </c>
      <c r="E30" s="88">
        <v>3.6179999999999999</v>
      </c>
      <c r="F30" s="66"/>
      <c r="G30" s="66"/>
    </row>
    <row r="31" spans="1:7" ht="15" customHeight="1">
      <c r="A31" s="31"/>
      <c r="B31" s="88"/>
      <c r="C31" s="88"/>
      <c r="D31" s="63"/>
      <c r="E31" s="88"/>
      <c r="F31" s="66"/>
      <c r="G31" s="66"/>
    </row>
    <row r="32" spans="1:7" ht="15" customHeight="1">
      <c r="A32" s="29" t="s">
        <v>88</v>
      </c>
      <c r="B32" s="88">
        <v>10.132999999999999</v>
      </c>
      <c r="C32" s="88">
        <f>$C$6</f>
        <v>-0.5</v>
      </c>
      <c r="D32" s="59">
        <f>B32+C32</f>
        <v>9.6329999999999991</v>
      </c>
      <c r="E32" s="88">
        <v>13.862</v>
      </c>
      <c r="F32" s="65">
        <f>SUM(D32:E32)</f>
        <v>23.494999999999997</v>
      </c>
      <c r="G32" s="65">
        <f>F32</f>
        <v>23.494999999999997</v>
      </c>
    </row>
    <row r="33" spans="1:7" ht="15" customHeight="1">
      <c r="A33" s="31"/>
      <c r="B33" s="88"/>
      <c r="C33" s="88"/>
      <c r="D33" s="63"/>
      <c r="E33" s="88"/>
      <c r="F33" s="66"/>
      <c r="G33" s="66"/>
    </row>
    <row r="34" spans="1:7" ht="15" customHeight="1">
      <c r="A34" s="29" t="s">
        <v>89</v>
      </c>
      <c r="B34" s="88"/>
      <c r="C34" s="88"/>
      <c r="D34" s="63"/>
      <c r="E34" s="88"/>
      <c r="F34" s="66"/>
      <c r="G34" s="66"/>
    </row>
    <row r="35" spans="1:7" ht="15" customHeight="1">
      <c r="A35" s="31" t="s">
        <v>80</v>
      </c>
      <c r="B35" s="88">
        <v>12.243</v>
      </c>
      <c r="C35" s="88">
        <f>$C$6</f>
        <v>-0.5</v>
      </c>
      <c r="D35" s="59">
        <f t="shared" ref="D35:D36" si="3">B35+C35</f>
        <v>11.743</v>
      </c>
      <c r="E35" s="88">
        <v>17.635999999999999</v>
      </c>
      <c r="F35" s="65">
        <f>SUM($D35:$E35)*'Calculation Sheet'!B$5+SUM($D36:$E36)*(1-'Calculation Sheet'!B$5)</f>
        <v>22.160078191665441</v>
      </c>
      <c r="G35" s="65">
        <f>SUM($D35:$E35)*'Calculation Sheet'!C$5+SUM($D36:$E36)*(1-'Calculation Sheet'!C$5)</f>
        <v>21.012920000000001</v>
      </c>
    </row>
    <row r="36" spans="1:7" ht="15" customHeight="1">
      <c r="A36" s="31" t="s">
        <v>81</v>
      </c>
      <c r="B36" s="88">
        <v>9.2430000000000003</v>
      </c>
      <c r="C36" s="88">
        <f>$C$6</f>
        <v>-0.5</v>
      </c>
      <c r="D36" s="59">
        <f t="shared" si="3"/>
        <v>8.7430000000000003</v>
      </c>
      <c r="E36" s="88">
        <v>9.6280000000000001</v>
      </c>
      <c r="F36" s="66"/>
      <c r="G36" s="66"/>
    </row>
    <row r="37" spans="1:7" ht="15" customHeight="1">
      <c r="A37" s="31"/>
      <c r="B37" s="88"/>
      <c r="C37" s="88"/>
      <c r="D37" s="63"/>
      <c r="E37" s="88"/>
      <c r="F37" s="66"/>
      <c r="G37" s="66"/>
    </row>
    <row r="38" spans="1:7" ht="15" customHeight="1">
      <c r="A38" s="29" t="s">
        <v>90</v>
      </c>
      <c r="B38" s="88"/>
      <c r="C38" s="88"/>
      <c r="D38" s="63"/>
      <c r="E38" s="88"/>
      <c r="F38" s="66"/>
      <c r="G38" s="66"/>
    </row>
    <row r="39" spans="1:7" ht="15" customHeight="1">
      <c r="A39" s="31" t="s">
        <v>80</v>
      </c>
      <c r="B39" s="88">
        <v>12.243</v>
      </c>
      <c r="C39" s="88">
        <f>$C$6</f>
        <v>-0.5</v>
      </c>
      <c r="D39" s="59">
        <f t="shared" ref="D39:D40" si="4">B39+C39</f>
        <v>11.743</v>
      </c>
      <c r="E39" s="88">
        <v>6.9130000000000003</v>
      </c>
      <c r="F39" s="65">
        <f>SUM($D39:$E39)*'Calculation Sheet'!B$5+SUM($D40:$E40)*(1-'Calculation Sheet'!B$5)</f>
        <v>13.971701446499475</v>
      </c>
      <c r="G39" s="65">
        <f>SUM($D39:$E39)*'Calculation Sheet'!C$5+SUM($D40:$E40)*(1-'Calculation Sheet'!C$5)</f>
        <v>13.227319999999999</v>
      </c>
    </row>
    <row r="40" spans="1:7" ht="15" customHeight="1">
      <c r="A40" s="31" t="s">
        <v>81</v>
      </c>
      <c r="B40" s="88">
        <v>9.2430000000000003</v>
      </c>
      <c r="C40" s="88">
        <f>$C$6</f>
        <v>-0.5</v>
      </c>
      <c r="D40" s="59">
        <f t="shared" si="4"/>
        <v>8.7430000000000003</v>
      </c>
      <c r="E40" s="88">
        <v>2.77</v>
      </c>
      <c r="F40" s="66"/>
      <c r="G40" s="66"/>
    </row>
    <row r="41" spans="1:7" ht="15" customHeight="1">
      <c r="A41" s="31"/>
      <c r="B41" s="88"/>
      <c r="C41" s="88"/>
      <c r="D41" s="63"/>
      <c r="E41" s="88"/>
      <c r="F41" s="66"/>
      <c r="G41" s="66"/>
    </row>
    <row r="42" spans="1:7" ht="15" customHeight="1">
      <c r="A42" s="29" t="s">
        <v>91</v>
      </c>
      <c r="B42" s="88"/>
      <c r="C42" s="88"/>
      <c r="D42" s="64"/>
      <c r="E42" s="88"/>
      <c r="F42" s="67"/>
      <c r="G42" s="67"/>
    </row>
    <row r="43" spans="1:7" ht="15" customHeight="1">
      <c r="A43" s="31" t="s">
        <v>80</v>
      </c>
      <c r="B43" s="88">
        <v>12.243</v>
      </c>
      <c r="C43" s="88">
        <f>$C$6</f>
        <v>-0.5</v>
      </c>
      <c r="D43" s="59">
        <f t="shared" ref="D43:D44" si="5">B43+C43</f>
        <v>11.743</v>
      </c>
      <c r="E43" s="88">
        <v>7.0110000000000001</v>
      </c>
      <c r="F43" s="65">
        <f>SUM($D43:$E43)*'Calculation Sheet'!B$5+SUM($D44:$E44)*(1-'Calculation Sheet'!B$5)</f>
        <v>13.998876268874103</v>
      </c>
      <c r="G43" s="65">
        <f>SUM($D43:$E43)*'Calculation Sheet'!C$5+SUM($D44:$E44)*(1-'Calculation Sheet'!C$5)</f>
        <v>13.24324</v>
      </c>
    </row>
    <row r="44" spans="1:7" ht="15" customHeight="1">
      <c r="A44" s="31" t="s">
        <v>81</v>
      </c>
      <c r="B44" s="88">
        <v>9.2430000000000003</v>
      </c>
      <c r="C44" s="88">
        <f>$C$6</f>
        <v>-0.5</v>
      </c>
      <c r="D44" s="59">
        <f t="shared" si="5"/>
        <v>8.7430000000000003</v>
      </c>
      <c r="E44" s="88">
        <v>2.76</v>
      </c>
      <c r="F44" s="66"/>
      <c r="G44" s="66"/>
    </row>
    <row r="45" spans="1:7" ht="15" customHeight="1">
      <c r="A45" s="31"/>
      <c r="B45" s="88"/>
      <c r="C45" s="88"/>
      <c r="D45" s="63"/>
      <c r="E45" s="88"/>
      <c r="F45" s="66"/>
      <c r="G45" s="66"/>
    </row>
    <row r="46" spans="1:7" ht="15" customHeight="1">
      <c r="A46" s="29" t="s">
        <v>92</v>
      </c>
      <c r="B46" s="88"/>
      <c r="C46" s="88"/>
      <c r="D46" s="63"/>
      <c r="E46" s="88"/>
      <c r="F46" s="66"/>
      <c r="G46" s="66"/>
    </row>
    <row r="47" spans="1:7" ht="15" customHeight="1">
      <c r="A47" s="31" t="s">
        <v>80</v>
      </c>
      <c r="B47" s="88">
        <v>10.505000000000001</v>
      </c>
      <c r="C47" s="88">
        <f>$C$6</f>
        <v>-0.5</v>
      </c>
      <c r="D47" s="59">
        <f t="shared" ref="D47:D48" si="6">B47+C47</f>
        <v>10.005000000000001</v>
      </c>
      <c r="E47" s="88">
        <v>7.0949999999999998</v>
      </c>
      <c r="F47" s="65">
        <f>SUM($D47:$E47)*'Calculation Sheet'!B$5+SUM($D48:$E48)*(1-'Calculation Sheet'!B$5)</f>
        <v>13.718097768388326</v>
      </c>
      <c r="G47" s="65">
        <f>SUM($D47:$E47)*'Calculation Sheet'!C$5+SUM($D48:$E48)*(1-'Calculation Sheet'!C$5)</f>
        <v>13.180680000000002</v>
      </c>
    </row>
    <row r="48" spans="1:7" ht="15" customHeight="1">
      <c r="A48" s="31" t="s">
        <v>81</v>
      </c>
      <c r="B48" s="88">
        <v>9.6950000000000003</v>
      </c>
      <c r="C48" s="88">
        <f>$C$6</f>
        <v>-0.5</v>
      </c>
      <c r="D48" s="59">
        <f t="shared" si="6"/>
        <v>9.1950000000000003</v>
      </c>
      <c r="E48" s="88">
        <v>2.7480000000000002</v>
      </c>
      <c r="F48" s="66"/>
      <c r="G48" s="66"/>
    </row>
    <row r="49" spans="1:7" ht="15" customHeight="1">
      <c r="A49" s="31"/>
      <c r="B49" s="88"/>
      <c r="C49" s="88"/>
      <c r="D49" s="63"/>
      <c r="E49" s="88"/>
      <c r="F49" s="66"/>
      <c r="G49" s="66"/>
    </row>
    <row r="50" spans="1:7" ht="15" customHeight="1">
      <c r="A50" s="29" t="s">
        <v>93</v>
      </c>
      <c r="B50" s="88"/>
      <c r="C50" s="88"/>
      <c r="D50" s="63"/>
      <c r="E50" s="88"/>
      <c r="F50" s="66"/>
      <c r="G50" s="66"/>
    </row>
    <row r="51" spans="1:7" ht="15" customHeight="1">
      <c r="A51" s="31" t="s">
        <v>80</v>
      </c>
      <c r="B51" s="88">
        <v>10.505000000000001</v>
      </c>
      <c r="C51" s="88">
        <f>$C$6</f>
        <v>-0.5</v>
      </c>
      <c r="D51" s="59">
        <f t="shared" ref="D51:D52" si="7">B51+C51</f>
        <v>10.005000000000001</v>
      </c>
      <c r="E51" s="88">
        <v>6.9870000000000001</v>
      </c>
      <c r="F51" s="65">
        <f>SUM($D51:$E51)*'Calculation Sheet'!B$5+SUM($D52:$E52)*(1-'Calculation Sheet'!B$5)</f>
        <v>13.660593496880491</v>
      </c>
      <c r="G51" s="65">
        <f>SUM($D51:$E51)*'Calculation Sheet'!C$5+SUM($D52:$E52)*(1-'Calculation Sheet'!C$5)</f>
        <v>13.1312</v>
      </c>
    </row>
    <row r="52" spans="1:7" ht="15" customHeight="1">
      <c r="A52" s="31" t="s">
        <v>81</v>
      </c>
      <c r="B52" s="88">
        <v>9.6950000000000003</v>
      </c>
      <c r="C52" s="88">
        <f>$C$6</f>
        <v>-0.5</v>
      </c>
      <c r="D52" s="59">
        <f t="shared" si="7"/>
        <v>9.1950000000000003</v>
      </c>
      <c r="E52" s="88">
        <v>2.7170000000000001</v>
      </c>
      <c r="F52" s="41"/>
      <c r="G52" s="41"/>
    </row>
    <row r="53" spans="1:7" ht="15" customHeight="1">
      <c r="B53" s="5"/>
      <c r="C53" s="5"/>
      <c r="D53" s="7"/>
      <c r="E53" s="7"/>
      <c r="F53" s="7"/>
      <c r="G53" s="7"/>
    </row>
    <row r="54" spans="1:7" ht="15" customHeight="1">
      <c r="B54" s="6"/>
      <c r="C54" s="6"/>
      <c r="D54" s="42"/>
      <c r="E54" s="42"/>
      <c r="F54" s="42"/>
      <c r="G54" s="42"/>
    </row>
    <row r="55" spans="1:7" ht="15" customHeight="1">
      <c r="A55" s="24" t="s">
        <v>94</v>
      </c>
      <c r="B55" s="5"/>
      <c r="C55" s="5"/>
      <c r="D55" s="43"/>
      <c r="E55" s="43"/>
      <c r="F55" s="43"/>
      <c r="G55" s="43"/>
    </row>
    <row r="56" spans="1:7">
      <c r="A56" s="24"/>
    </row>
  </sheetData>
  <sheetProtection algorithmName="SHA-512" hashValue="+am5hoj9tmG/PCf3Rr4hOsUoqS3oxRpZJ/kT34PftZvRC2P4G2uobyH7/AwVmQiZkE4CMtWmbm2V+I2hwUbOzg==" saltValue="MLkW2b2GMeG2aniA8M5MkQ==" spinCount="100000" sheet="1" objects="1" scenarios="1"/>
  <mergeCells count="2">
    <mergeCell ref="A1:M1"/>
    <mergeCell ref="A2:M2"/>
  </mergeCells>
  <conditionalFormatting sqref="D53:G1048576">
    <cfRule type="cellIs" dxfId="1" priority="17" operator="lessThan">
      <formula>0</formula>
    </cfRule>
  </conditionalFormatting>
  <pageMargins left="0.7" right="0.7" top="1.1776041666666666" bottom="0.75" header="0.3" footer="0.3"/>
  <pageSetup scale="76" fitToHeight="0" orientation="landscape" r:id="rId1"/>
  <headerFooter>
    <oddHeader>&amp;RThe Connecticut Light and Power Company dba Eversource Energy &amp; The United Illuminating Company
Docket No. 25-08-03
January 28, 2026
Compliance with Motion No. 11, Attachment 9
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BAF6E-588A-41E0-B545-E99BE3192859}">
  <sheetPr codeName="Sheet5"/>
  <dimension ref="A1:I36"/>
  <sheetViews>
    <sheetView view="pageLayout" zoomScaleNormal="100" workbookViewId="0">
      <selection activeCell="L4" sqref="L4"/>
    </sheetView>
  </sheetViews>
  <sheetFormatPr defaultColWidth="9.28515625" defaultRowHeight="15"/>
  <cols>
    <col min="1" max="1" width="12.5703125" style="38" bestFit="1" customWidth="1"/>
    <col min="2" max="4" width="14.7109375" style="24" customWidth="1"/>
    <col min="5" max="5" width="14.7109375" style="39" customWidth="1"/>
    <col min="6" max="7" width="14.7109375" style="40" customWidth="1"/>
    <col min="8" max="16384" width="9.28515625" style="24"/>
  </cols>
  <sheetData>
    <row r="1" spans="1:9">
      <c r="A1" s="166" t="s">
        <v>95</v>
      </c>
      <c r="B1" s="166"/>
      <c r="C1" s="166"/>
      <c r="D1" s="166"/>
      <c r="E1" s="166"/>
      <c r="F1" s="166"/>
      <c r="G1" s="166"/>
      <c r="H1" s="166"/>
      <c r="I1" s="166"/>
    </row>
    <row r="2" spans="1:9">
      <c r="A2" s="167" t="s">
        <v>69</v>
      </c>
      <c r="B2" s="167"/>
      <c r="C2" s="167"/>
      <c r="D2" s="167"/>
      <c r="E2" s="167"/>
      <c r="F2" s="167"/>
      <c r="G2" s="167"/>
      <c r="H2" s="167"/>
      <c r="I2" s="167"/>
    </row>
    <row r="4" spans="1:9" ht="47.25">
      <c r="A4" s="25" t="s">
        <v>70</v>
      </c>
      <c r="B4" s="91" t="s">
        <v>71</v>
      </c>
      <c r="C4" s="26" t="s">
        <v>72</v>
      </c>
      <c r="D4" s="26" t="s">
        <v>73</v>
      </c>
      <c r="E4" s="91" t="s">
        <v>74</v>
      </c>
      <c r="F4" s="26" t="s">
        <v>75</v>
      </c>
      <c r="G4" s="26" t="s">
        <v>76</v>
      </c>
    </row>
    <row r="5" spans="1:9" ht="15" customHeight="1">
      <c r="A5" s="27"/>
      <c r="B5" s="28"/>
      <c r="C5" s="28"/>
      <c r="D5" s="28"/>
      <c r="E5" s="28"/>
      <c r="F5" s="28"/>
      <c r="G5" s="28"/>
    </row>
    <row r="6" spans="1:9" ht="15" customHeight="1">
      <c r="A6" s="29" t="s">
        <v>96</v>
      </c>
      <c r="B6" s="19">
        <v>12.626199999999999</v>
      </c>
      <c r="C6" s="19">
        <v>-0.5</v>
      </c>
      <c r="D6" s="19">
        <f>B6+C6</f>
        <v>12.126199999999999</v>
      </c>
      <c r="E6" s="19">
        <v>20.196268558271427</v>
      </c>
      <c r="F6" s="30">
        <f>SUM(D6:E6)</f>
        <v>32.322468558271424</v>
      </c>
      <c r="G6" s="30">
        <f>F6</f>
        <v>32.322468558271424</v>
      </c>
    </row>
    <row r="7" spans="1:9" ht="15" customHeight="1">
      <c r="A7" s="31"/>
      <c r="B7" s="19"/>
      <c r="C7" s="19"/>
      <c r="D7" s="32"/>
      <c r="E7" s="19"/>
      <c r="F7" s="33"/>
      <c r="G7" s="33"/>
    </row>
    <row r="8" spans="1:9" ht="15" customHeight="1">
      <c r="A8" s="29" t="s">
        <v>97</v>
      </c>
      <c r="B8" s="78"/>
      <c r="C8" s="78"/>
      <c r="D8" s="79"/>
      <c r="E8" s="34"/>
      <c r="F8" s="35"/>
      <c r="G8" s="35"/>
    </row>
    <row r="9" spans="1:9" ht="15" customHeight="1">
      <c r="A9" s="31" t="s">
        <v>80</v>
      </c>
      <c r="B9" s="19">
        <v>15.2233</v>
      </c>
      <c r="C9" s="19">
        <f>$C$6</f>
        <v>-0.5</v>
      </c>
      <c r="D9" s="19">
        <f t="shared" ref="D9:D10" si="0">B9+C9</f>
        <v>14.7233</v>
      </c>
      <c r="E9" s="19">
        <v>35.438335721735001</v>
      </c>
      <c r="F9" s="30">
        <f>SUM($D9:$E9)*'Calculation Sheet'!B$6+SUM($D10:$E10)*(1-'Calculation Sheet'!B$6)</f>
        <v>40.697586448921356</v>
      </c>
      <c r="G9" s="30">
        <f>SUM($D9:$E9)*'Calculation Sheet'!C$6+SUM($D10:$E10)*(1-'Calculation Sheet'!C$6)</f>
        <v>34.78732295684604</v>
      </c>
    </row>
    <row r="10" spans="1:9" ht="15" customHeight="1">
      <c r="A10" s="31" t="s">
        <v>81</v>
      </c>
      <c r="B10" s="19">
        <v>11.723299999999998</v>
      </c>
      <c r="C10" s="19">
        <f>$C$6</f>
        <v>-0.5</v>
      </c>
      <c r="D10" s="19">
        <f t="shared" si="0"/>
        <v>11.223299999999998</v>
      </c>
      <c r="E10" s="19">
        <v>18.759550217818248</v>
      </c>
      <c r="F10" s="33"/>
      <c r="G10" s="33"/>
    </row>
    <row r="11" spans="1:9" ht="15" customHeight="1">
      <c r="A11" s="31"/>
      <c r="B11" s="34"/>
      <c r="C11" s="36"/>
      <c r="D11" s="37"/>
      <c r="E11" s="34"/>
      <c r="F11" s="35"/>
      <c r="G11" s="35"/>
    </row>
    <row r="12" spans="1:9" ht="15" customHeight="1">
      <c r="A12" s="29" t="s">
        <v>98</v>
      </c>
      <c r="B12" s="19">
        <v>12.5794</v>
      </c>
      <c r="C12" s="19">
        <f>$C$6</f>
        <v>-0.5</v>
      </c>
      <c r="D12" s="19">
        <f>B12+C12</f>
        <v>12.0794</v>
      </c>
      <c r="E12" s="19">
        <v>20.612548885227078</v>
      </c>
      <c r="F12" s="30">
        <f>SUM(D12:E12)</f>
        <v>32.691948885227077</v>
      </c>
      <c r="G12" s="30">
        <f>F12</f>
        <v>32.691948885227077</v>
      </c>
    </row>
    <row r="13" spans="1:9" ht="15" customHeight="1">
      <c r="A13" s="31"/>
      <c r="B13" s="19"/>
      <c r="C13" s="19"/>
      <c r="D13" s="32"/>
      <c r="E13" s="19"/>
      <c r="F13" s="33"/>
      <c r="G13" s="33"/>
    </row>
    <row r="14" spans="1:9" ht="15" customHeight="1">
      <c r="A14" s="29" t="s">
        <v>99</v>
      </c>
      <c r="B14" s="19">
        <v>12.5794</v>
      </c>
      <c r="C14" s="19">
        <f>$C$6</f>
        <v>-0.5</v>
      </c>
      <c r="D14" s="19">
        <f>B14+C14</f>
        <v>12.0794</v>
      </c>
      <c r="E14" s="19">
        <v>4.653899674823978</v>
      </c>
      <c r="F14" s="30">
        <f>SUM(D14:E14)</f>
        <v>16.733299674823979</v>
      </c>
      <c r="G14" s="30">
        <f>F14</f>
        <v>16.733299674823979</v>
      </c>
    </row>
    <row r="15" spans="1:9" ht="15" customHeight="1">
      <c r="A15" s="31"/>
      <c r="B15" s="19"/>
      <c r="C15" s="19"/>
      <c r="D15" s="32"/>
      <c r="E15" s="19"/>
      <c r="F15" s="33"/>
      <c r="G15" s="33"/>
    </row>
    <row r="16" spans="1:9" ht="15" customHeight="1">
      <c r="A16" s="29" t="s">
        <v>100</v>
      </c>
      <c r="B16" s="34"/>
      <c r="C16" s="78"/>
      <c r="D16" s="79"/>
      <c r="E16" s="34"/>
      <c r="F16" s="35"/>
      <c r="G16" s="35"/>
    </row>
    <row r="17" spans="1:7" ht="15" customHeight="1">
      <c r="A17" s="31" t="s">
        <v>80</v>
      </c>
      <c r="B17" s="19">
        <v>14.554600000000004</v>
      </c>
      <c r="C17" s="19">
        <f>$C$6</f>
        <v>-0.5</v>
      </c>
      <c r="D17" s="19">
        <f t="shared" ref="D17:D18" si="1">B17+C17</f>
        <v>14.054600000000004</v>
      </c>
      <c r="E17" s="19">
        <v>34.802830093394832</v>
      </c>
      <c r="F17" s="30">
        <f>SUM($D17:$E17)*'Calculation Sheet'!B$6+SUM($D18:$E18)*(1-'Calculation Sheet'!B$6)</f>
        <v>34.28796748099623</v>
      </c>
      <c r="G17" s="30">
        <f>SUM($D17:$E17)*'Calculation Sheet'!C$6+SUM($D18:$E18)*(1-'Calculation Sheet'!C$6)</f>
        <v>25.189392389616174</v>
      </c>
    </row>
    <row r="18" spans="1:7" ht="15" customHeight="1">
      <c r="A18" s="31" t="s">
        <v>81</v>
      </c>
      <c r="B18" s="19">
        <v>11.554599999999999</v>
      </c>
      <c r="C18" s="19">
        <f>$C$6</f>
        <v>-0.5</v>
      </c>
      <c r="D18" s="19">
        <f t="shared" si="1"/>
        <v>11.054599999999999</v>
      </c>
      <c r="E18" s="19">
        <v>6.7385306071853428</v>
      </c>
      <c r="F18" s="33"/>
      <c r="G18" s="33"/>
    </row>
    <row r="19" spans="1:7" ht="15" customHeight="1">
      <c r="A19" s="31"/>
      <c r="B19" s="34"/>
      <c r="C19" s="36"/>
      <c r="D19" s="37"/>
      <c r="E19" s="34"/>
      <c r="F19" s="35"/>
      <c r="G19" s="35"/>
    </row>
    <row r="20" spans="1:7" ht="15" customHeight="1">
      <c r="A20" s="29" t="s">
        <v>101</v>
      </c>
      <c r="B20" s="19"/>
      <c r="C20" s="19"/>
      <c r="D20" s="32"/>
      <c r="E20" s="19"/>
      <c r="F20" s="33"/>
      <c r="G20" s="33"/>
    </row>
    <row r="21" spans="1:7" ht="15" customHeight="1">
      <c r="A21" s="31" t="s">
        <v>80</v>
      </c>
      <c r="B21" s="19">
        <v>14.554600000000004</v>
      </c>
      <c r="C21" s="19">
        <f>$C$6</f>
        <v>-0.5</v>
      </c>
      <c r="D21" s="19">
        <f t="shared" ref="D21:D22" si="2">B21+C21</f>
        <v>14.054600000000004</v>
      </c>
      <c r="E21" s="19">
        <v>5.8264352725422883</v>
      </c>
      <c r="F21" s="30">
        <f>SUM($D21:$E21)*'Calculation Sheet'!B$6+SUM($D22:$E22)*(1-'Calculation Sheet'!B$6)</f>
        <v>17.281572991508817</v>
      </c>
      <c r="G21" s="30">
        <f>SUM($D21:$E21)*'Calculation Sheet'!C$6+SUM($D22:$E22)*(1-'Calculation Sheet'!C$6)</f>
        <v>15.658218486925659</v>
      </c>
    </row>
    <row r="22" spans="1:7" ht="15" customHeight="1">
      <c r="A22" s="31" t="s">
        <v>81</v>
      </c>
      <c r="B22" s="19">
        <v>11.554599999999999</v>
      </c>
      <c r="C22" s="19">
        <f>$C$6</f>
        <v>-0.5</v>
      </c>
      <c r="D22" s="19">
        <f t="shared" si="2"/>
        <v>11.054599999999999</v>
      </c>
      <c r="E22" s="19">
        <v>3.2839882414204657</v>
      </c>
      <c r="F22" s="33"/>
      <c r="G22" s="33"/>
    </row>
    <row r="23" spans="1:7" ht="15" customHeight="1">
      <c r="A23" s="31"/>
      <c r="B23" s="19"/>
      <c r="C23" s="19"/>
      <c r="D23" s="32"/>
      <c r="E23" s="19"/>
      <c r="F23" s="33"/>
      <c r="G23" s="33"/>
    </row>
    <row r="24" spans="1:7" ht="15" customHeight="1">
      <c r="A24" s="29" t="s">
        <v>102</v>
      </c>
      <c r="B24" s="19"/>
      <c r="C24" s="19"/>
      <c r="D24" s="32"/>
      <c r="E24" s="19"/>
      <c r="F24" s="33"/>
      <c r="G24" s="33"/>
    </row>
    <row r="25" spans="1:7" ht="15" customHeight="1">
      <c r="A25" s="31" t="s">
        <v>80</v>
      </c>
      <c r="B25" s="19">
        <v>14.618650000000002</v>
      </c>
      <c r="C25" s="19">
        <f>$C$6</f>
        <v>-0.5</v>
      </c>
      <c r="D25" s="19">
        <f t="shared" ref="D25:D26" si="3">B25+C25</f>
        <v>14.118650000000002</v>
      </c>
      <c r="E25" s="19">
        <v>3.2424300108818054</v>
      </c>
      <c r="F25" s="30">
        <f>SUM($D25:$E25)*'Calculation Sheet'!B$6+SUM($D26:$E26)*(1-'Calculation Sheet'!B$6)</f>
        <v>15.954050444462663</v>
      </c>
      <c r="G25" s="30">
        <f>SUM($D25:$E25)*'Calculation Sheet'!C$6+SUM($D26:$E26)*(1-'Calculation Sheet'!C$6)</f>
        <v>15.07536572516752</v>
      </c>
    </row>
    <row r="26" spans="1:7" ht="15" customHeight="1">
      <c r="A26" s="31" t="s">
        <v>81</v>
      </c>
      <c r="B26" s="19">
        <v>11.618650000000001</v>
      </c>
      <c r="C26" s="19">
        <f>$C$6</f>
        <v>-0.5</v>
      </c>
      <c r="D26" s="19">
        <f t="shared" si="3"/>
        <v>11.118650000000001</v>
      </c>
      <c r="E26" s="19">
        <v>3.2424300108818054</v>
      </c>
      <c r="F26" s="33"/>
      <c r="G26" s="33"/>
    </row>
    <row r="27" spans="1:7" ht="15" customHeight="1">
      <c r="A27" s="31"/>
      <c r="B27" s="19"/>
      <c r="C27" s="19"/>
      <c r="D27" s="32"/>
      <c r="E27" s="19"/>
      <c r="F27" s="33"/>
      <c r="G27" s="33"/>
    </row>
    <row r="28" spans="1:7" ht="15" customHeight="1">
      <c r="A28" s="29" t="s">
        <v>103</v>
      </c>
      <c r="B28" s="19"/>
      <c r="C28" s="19"/>
      <c r="D28" s="32"/>
      <c r="E28" s="19"/>
      <c r="F28" s="33"/>
      <c r="G28" s="33"/>
    </row>
    <row r="29" spans="1:7" ht="15" customHeight="1">
      <c r="A29" s="31" t="s">
        <v>80</v>
      </c>
      <c r="B29" s="19">
        <v>14.040900000000001</v>
      </c>
      <c r="C29" s="19">
        <f>$C$6</f>
        <v>-0.5</v>
      </c>
      <c r="D29" s="19">
        <f t="shared" ref="D29:D30" si="4">B29+C29</f>
        <v>13.540900000000001</v>
      </c>
      <c r="E29" s="19">
        <v>5.8264352725422883</v>
      </c>
      <c r="F29" s="30">
        <f>SUM($D29:$E29)*'Calculation Sheet'!B$6+SUM($D30:$E30)*(1-'Calculation Sheet'!B$6)</f>
        <v>19.180786602527885</v>
      </c>
      <c r="G29" s="30">
        <f>SUM($D29:$E29)*'Calculation Sheet'!C$6+SUM($D30:$E30)*(1-'Calculation Sheet'!C$6)</f>
        <v>19.06428765349467</v>
      </c>
    </row>
    <row r="30" spans="1:7" ht="15" customHeight="1">
      <c r="A30" s="31" t="s">
        <v>81</v>
      </c>
      <c r="B30" s="19">
        <v>13.64315</v>
      </c>
      <c r="C30" s="19">
        <f>$C$6</f>
        <v>-0.5</v>
      </c>
      <c r="D30" s="19">
        <f t="shared" si="4"/>
        <v>13.14315</v>
      </c>
      <c r="E30" s="19">
        <v>5.8264352725422883</v>
      </c>
      <c r="F30" s="33"/>
      <c r="G30" s="33"/>
    </row>
    <row r="31" spans="1:7" ht="15" customHeight="1">
      <c r="A31" s="31"/>
      <c r="B31" s="19"/>
      <c r="C31" s="19"/>
      <c r="D31" s="32"/>
      <c r="E31" s="19"/>
      <c r="F31" s="33"/>
      <c r="G31" s="33"/>
    </row>
    <row r="32" spans="1:7" ht="15" customHeight="1">
      <c r="A32" s="29" t="s">
        <v>104</v>
      </c>
      <c r="B32" s="19"/>
      <c r="C32" s="19"/>
      <c r="D32" s="32"/>
      <c r="E32" s="19"/>
      <c r="F32" s="33"/>
      <c r="G32" s="33"/>
    </row>
    <row r="33" spans="1:7" ht="15" customHeight="1">
      <c r="A33" s="31" t="s">
        <v>80</v>
      </c>
      <c r="B33" s="19">
        <v>14.040900000000001</v>
      </c>
      <c r="C33" s="19">
        <f>$C$6</f>
        <v>-0.5</v>
      </c>
      <c r="D33" s="19">
        <f t="shared" ref="D33:D34" si="5">B33+C33</f>
        <v>13.540900000000001</v>
      </c>
      <c r="E33" s="19">
        <v>3.2424300108818054</v>
      </c>
      <c r="F33" s="30">
        <f>SUM($D33:$E33)*'Calculation Sheet'!B$6+SUM($D34:$E34)*(1-'Calculation Sheet'!B$6)</f>
        <v>16.596781340867402</v>
      </c>
      <c r="G33" s="30">
        <f>SUM($D33:$E33)*'Calculation Sheet'!C$6+SUM($D34:$E34)*(1-'Calculation Sheet'!C$6)</f>
        <v>16.480282391834187</v>
      </c>
    </row>
    <row r="34" spans="1:7" ht="15" customHeight="1">
      <c r="A34" s="31" t="s">
        <v>81</v>
      </c>
      <c r="B34" s="19">
        <v>13.64315</v>
      </c>
      <c r="C34" s="19">
        <f>$C$6</f>
        <v>-0.5</v>
      </c>
      <c r="D34" s="19">
        <f t="shared" si="5"/>
        <v>13.14315</v>
      </c>
      <c r="E34" s="19">
        <v>3.2424300108818054</v>
      </c>
      <c r="F34" s="33"/>
      <c r="G34" s="33"/>
    </row>
    <row r="35" spans="1:7" ht="15" customHeight="1"/>
    <row r="36" spans="1:7" ht="15" customHeight="1">
      <c r="A36" s="24" t="s">
        <v>105</v>
      </c>
      <c r="F36" s="24"/>
    </row>
  </sheetData>
  <sheetProtection algorithmName="SHA-512" hashValue="EI9dBox5smQq+Fr7ORE4JYxCAQbvKqf7HDWXrE1D8pZw1XIH+T5shxQLLQJD9vV7r8qLfYuraEAIkLnqi42LeQ==" saltValue="AcX+6k75CE2u+61J7E1UNA==" spinCount="100000" sheet="1" objects="1" scenarios="1"/>
  <mergeCells count="2">
    <mergeCell ref="A1:I1"/>
    <mergeCell ref="A2:I2"/>
  </mergeCells>
  <conditionalFormatting sqref="E35:G35 E36 G36 E37:G1048576">
    <cfRule type="cellIs" dxfId="0" priority="1" operator="lessThan">
      <formula>0</formula>
    </cfRule>
  </conditionalFormatting>
  <pageMargins left="0.7" right="0.7" top="1.1776041666666666" bottom="0.75" header="0.3" footer="0.3"/>
  <pageSetup scale="76" fitToHeight="0" orientation="landscape" r:id="rId1"/>
  <headerFooter>
    <oddHeader>&amp;RThe Connecticut Light and Power Company dba Eversource Energy &amp; The United Illuminating Company
Docket No. 25-08-03
January 28, 2026
Compliance with Motion No. 11, Attachment 9
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52A9-E955-4C58-9A04-64BFBCCA3B0D}">
  <sheetPr codeName="Sheet2"/>
  <dimension ref="B3:J52"/>
  <sheetViews>
    <sheetView tabSelected="1" view="pageLayout" topLeftCell="A9" zoomScaleNormal="100" workbookViewId="0">
      <selection activeCell="G25" sqref="G25"/>
    </sheetView>
  </sheetViews>
  <sheetFormatPr defaultRowHeight="15"/>
  <cols>
    <col min="1" max="1" width="6.5703125" customWidth="1"/>
    <col min="2" max="2" width="20" customWidth="1"/>
    <col min="3" max="3" width="13.5703125" customWidth="1"/>
    <col min="4" max="4" width="18" customWidth="1"/>
    <col min="5" max="5" width="18.28515625" customWidth="1"/>
    <col min="6" max="6" width="9.28515625" customWidth="1"/>
    <col min="7" max="7" width="18.7109375" bestFit="1" customWidth="1"/>
    <col min="8" max="8" width="9.7109375" bestFit="1" customWidth="1"/>
    <col min="10" max="10" width="10.28515625" bestFit="1" customWidth="1"/>
  </cols>
  <sheetData>
    <row r="3" spans="2:10" ht="35.25" customHeight="1">
      <c r="B3" s="141" t="s">
        <v>106</v>
      </c>
      <c r="C3" s="140"/>
      <c r="D3" s="183" t="s">
        <v>107</v>
      </c>
      <c r="E3" s="183"/>
      <c r="G3" s="181" t="s">
        <v>108</v>
      </c>
      <c r="H3" s="182"/>
    </row>
    <row r="4" spans="2:10">
      <c r="B4" s="141" t="s">
        <v>109</v>
      </c>
      <c r="C4" s="136">
        <v>250.42</v>
      </c>
      <c r="D4" s="182" t="s">
        <v>26</v>
      </c>
      <c r="E4" s="182"/>
      <c r="G4" s="127" t="s">
        <v>110</v>
      </c>
      <c r="H4" s="93">
        <v>236.74</v>
      </c>
      <c r="I4" s="135"/>
      <c r="J4" s="150"/>
    </row>
    <row r="5" spans="2:10" ht="31.5" customHeight="1">
      <c r="B5" s="141" t="s">
        <v>111</v>
      </c>
      <c r="C5" s="136">
        <v>236.74</v>
      </c>
      <c r="D5" s="184">
        <v>338.2</v>
      </c>
      <c r="E5" s="184"/>
      <c r="G5" s="127" t="s">
        <v>112</v>
      </c>
      <c r="H5" s="92">
        <f>H4*1.2</f>
        <v>284.08800000000002</v>
      </c>
      <c r="I5" s="135"/>
      <c r="J5" s="150"/>
    </row>
    <row r="6" spans="2:10" ht="45">
      <c r="B6" s="141" t="s">
        <v>113</v>
      </c>
      <c r="C6" s="136">
        <v>182.94</v>
      </c>
      <c r="D6" s="184">
        <v>261.33999999999997</v>
      </c>
      <c r="E6" s="184"/>
      <c r="G6" s="127" t="s">
        <v>114</v>
      </c>
      <c r="H6" s="92">
        <f>H4*1.3</f>
        <v>307.762</v>
      </c>
    </row>
    <row r="9" spans="2:10">
      <c r="B9" s="169" t="s">
        <v>115</v>
      </c>
      <c r="C9" s="170"/>
      <c r="D9" s="170"/>
      <c r="E9" s="170"/>
      <c r="F9" s="170"/>
      <c r="G9" s="170"/>
      <c r="H9" s="171"/>
    </row>
    <row r="10" spans="2:10">
      <c r="B10" s="133" t="s">
        <v>116</v>
      </c>
      <c r="C10" s="169" t="s">
        <v>109</v>
      </c>
      <c r="D10" s="171"/>
      <c r="E10" s="137" t="s">
        <v>111</v>
      </c>
      <c r="F10" s="138"/>
      <c r="G10" s="137" t="s">
        <v>113</v>
      </c>
      <c r="H10" s="138"/>
    </row>
    <row r="11" spans="2:10">
      <c r="B11" s="169" t="s">
        <v>117</v>
      </c>
      <c r="C11" s="174"/>
      <c r="D11" s="174"/>
      <c r="E11" s="170"/>
      <c r="F11" s="170"/>
      <c r="G11" s="170"/>
      <c r="H11" s="171"/>
    </row>
    <row r="12" spans="2:10">
      <c r="B12" s="134" t="s">
        <v>118</v>
      </c>
      <c r="C12" s="172">
        <v>0</v>
      </c>
      <c r="D12" s="173"/>
      <c r="E12" s="172">
        <v>0</v>
      </c>
      <c r="F12" s="173"/>
      <c r="G12" s="172">
        <v>0</v>
      </c>
      <c r="H12" s="173"/>
    </row>
    <row r="13" spans="2:10">
      <c r="B13" s="133" t="s">
        <v>119</v>
      </c>
      <c r="C13" s="172">
        <v>0</v>
      </c>
      <c r="D13" s="173"/>
      <c r="E13" s="172">
        <v>0</v>
      </c>
      <c r="F13" s="173"/>
      <c r="G13" s="172">
        <v>0</v>
      </c>
      <c r="H13" s="173"/>
    </row>
    <row r="14" spans="2:10">
      <c r="B14" s="133" t="s">
        <v>120</v>
      </c>
      <c r="C14" s="172">
        <v>48.05</v>
      </c>
      <c r="D14" s="173"/>
      <c r="E14" s="172">
        <v>34.369999999999997</v>
      </c>
      <c r="F14" s="173"/>
      <c r="G14" s="172">
        <v>0</v>
      </c>
      <c r="H14" s="173"/>
    </row>
    <row r="15" spans="2:10">
      <c r="B15" s="169" t="s">
        <v>121</v>
      </c>
      <c r="C15" s="170"/>
      <c r="D15" s="170"/>
      <c r="E15" s="170"/>
      <c r="F15" s="170"/>
      <c r="G15" s="170"/>
      <c r="H15" s="171"/>
    </row>
    <row r="16" spans="2:10">
      <c r="B16" s="133"/>
      <c r="C16" s="133" t="s">
        <v>32</v>
      </c>
      <c r="D16" s="133" t="s">
        <v>122</v>
      </c>
      <c r="E16" s="133" t="s">
        <v>32</v>
      </c>
      <c r="F16" s="133" t="s">
        <v>123</v>
      </c>
      <c r="G16" s="133" t="s">
        <v>32</v>
      </c>
      <c r="H16" s="133" t="s">
        <v>123</v>
      </c>
    </row>
    <row r="17" spans="2:8">
      <c r="B17" s="133" t="s">
        <v>124</v>
      </c>
      <c r="C17" s="139">
        <v>0</v>
      </c>
      <c r="D17" s="139">
        <v>0</v>
      </c>
      <c r="E17" s="139">
        <v>0</v>
      </c>
      <c r="F17" s="139">
        <v>0</v>
      </c>
      <c r="G17" s="139">
        <v>0</v>
      </c>
      <c r="H17" s="139">
        <v>0</v>
      </c>
    </row>
    <row r="18" spans="2:8">
      <c r="B18" s="133" t="s">
        <v>125</v>
      </c>
      <c r="C18" s="139">
        <v>0</v>
      </c>
      <c r="D18" s="139">
        <v>0</v>
      </c>
      <c r="E18" s="139">
        <v>0</v>
      </c>
      <c r="F18" s="139">
        <v>0</v>
      </c>
      <c r="G18" s="139">
        <v>0</v>
      </c>
      <c r="H18" s="139">
        <v>0</v>
      </c>
    </row>
    <row r="19" spans="2:8">
      <c r="B19" s="133" t="s">
        <v>126</v>
      </c>
      <c r="C19" s="139">
        <v>41.42</v>
      </c>
      <c r="D19" s="139">
        <v>61.05</v>
      </c>
      <c r="E19" s="139">
        <v>27.74</v>
      </c>
      <c r="F19" s="139">
        <v>47.37</v>
      </c>
      <c r="G19" s="139">
        <v>0</v>
      </c>
      <c r="H19" s="139">
        <v>0</v>
      </c>
    </row>
    <row r="20" spans="2:8">
      <c r="B20" s="133" t="s">
        <v>127</v>
      </c>
      <c r="C20" s="139">
        <v>57.47</v>
      </c>
      <c r="D20" s="139">
        <v>68.099999999999994</v>
      </c>
      <c r="E20" s="139">
        <v>43.79</v>
      </c>
      <c r="F20" s="139">
        <v>54.42</v>
      </c>
      <c r="G20" s="139">
        <v>0</v>
      </c>
      <c r="H20" s="139">
        <v>0.62</v>
      </c>
    </row>
    <row r="21" spans="2:8">
      <c r="B21" s="133" t="s">
        <v>128</v>
      </c>
      <c r="C21" s="139">
        <v>18.45</v>
      </c>
      <c r="D21" s="139">
        <v>19.86</v>
      </c>
      <c r="E21" s="139">
        <v>4.7699999999999996</v>
      </c>
      <c r="F21" s="139">
        <v>6.18</v>
      </c>
      <c r="G21" s="139">
        <v>0</v>
      </c>
      <c r="H21" s="139">
        <v>0</v>
      </c>
    </row>
    <row r="22" spans="2:8">
      <c r="B22" s="133" t="s">
        <v>16</v>
      </c>
      <c r="C22" s="139">
        <v>49.7</v>
      </c>
      <c r="D22" s="139">
        <v>51.11</v>
      </c>
      <c r="E22" s="139">
        <v>36.020000000000003</v>
      </c>
      <c r="F22" s="139">
        <v>37.43</v>
      </c>
      <c r="G22" s="139">
        <v>0</v>
      </c>
      <c r="H22" s="139">
        <v>0</v>
      </c>
    </row>
    <row r="23" spans="2:8">
      <c r="B23" s="80"/>
      <c r="C23" s="80"/>
      <c r="D23" s="80"/>
      <c r="E23" s="80"/>
      <c r="F23" s="80"/>
      <c r="G23" s="80"/>
      <c r="H23" s="80"/>
    </row>
    <row r="24" spans="2:8" ht="15.75">
      <c r="B24" s="168" t="s">
        <v>129</v>
      </c>
      <c r="C24" s="168"/>
      <c r="D24" s="168"/>
      <c r="E24" s="168"/>
      <c r="F24" s="168"/>
      <c r="G24" s="142"/>
      <c r="H24" s="142"/>
    </row>
    <row r="25" spans="2:8">
      <c r="B25" s="144" t="s">
        <v>116</v>
      </c>
      <c r="C25" s="168" t="s">
        <v>111</v>
      </c>
      <c r="D25" s="168"/>
      <c r="E25" s="168" t="s">
        <v>113</v>
      </c>
      <c r="F25" s="168"/>
    </row>
    <row r="26" spans="2:8">
      <c r="B26" s="168" t="s">
        <v>117</v>
      </c>
      <c r="C26" s="168"/>
      <c r="D26" s="168"/>
      <c r="E26" s="168"/>
      <c r="F26" s="168"/>
    </row>
    <row r="27" spans="2:8">
      <c r="B27" s="144" t="s">
        <v>118</v>
      </c>
      <c r="C27" s="176">
        <v>0</v>
      </c>
      <c r="D27" s="177"/>
      <c r="E27" s="176">
        <v>0</v>
      </c>
      <c r="F27" s="177"/>
    </row>
    <row r="28" spans="2:8">
      <c r="B28" s="144" t="s">
        <v>119</v>
      </c>
      <c r="C28" s="176">
        <v>0</v>
      </c>
      <c r="D28" s="177"/>
      <c r="E28" s="176">
        <v>0</v>
      </c>
      <c r="F28" s="177"/>
    </row>
    <row r="29" spans="2:8">
      <c r="B29" s="144" t="s">
        <v>120</v>
      </c>
      <c r="C29" s="176">
        <v>135.83000000000001</v>
      </c>
      <c r="D29" s="177"/>
      <c r="E29" s="176">
        <v>58.97</v>
      </c>
      <c r="F29" s="177"/>
    </row>
    <row r="30" spans="2:8">
      <c r="B30" s="168" t="s">
        <v>121</v>
      </c>
      <c r="C30" s="168"/>
      <c r="D30" s="168"/>
      <c r="E30" s="168"/>
      <c r="F30" s="168"/>
    </row>
    <row r="31" spans="2:8">
      <c r="B31" s="144"/>
      <c r="C31" s="144" t="s">
        <v>32</v>
      </c>
      <c r="D31" s="144" t="s">
        <v>123</v>
      </c>
      <c r="E31" s="144" t="s">
        <v>32</v>
      </c>
      <c r="F31" s="144" t="s">
        <v>123</v>
      </c>
    </row>
    <row r="32" spans="2:8">
      <c r="B32" s="144" t="s">
        <v>124</v>
      </c>
      <c r="C32" s="143">
        <v>0</v>
      </c>
      <c r="D32" s="145" t="s">
        <v>26</v>
      </c>
      <c r="E32" s="143">
        <v>0</v>
      </c>
      <c r="F32" s="145" t="s">
        <v>26</v>
      </c>
    </row>
    <row r="33" spans="2:6">
      <c r="B33" s="144" t="s">
        <v>125</v>
      </c>
      <c r="C33" s="143">
        <v>0</v>
      </c>
      <c r="D33" s="145" t="s">
        <v>26</v>
      </c>
      <c r="E33" s="143">
        <v>0</v>
      </c>
      <c r="F33" s="145" t="s">
        <v>26</v>
      </c>
    </row>
    <row r="34" spans="2:6">
      <c r="B34" s="144" t="s">
        <v>126</v>
      </c>
      <c r="C34" s="143">
        <v>129.19999999999999</v>
      </c>
      <c r="D34" s="145" t="s">
        <v>26</v>
      </c>
      <c r="E34" s="143">
        <v>0</v>
      </c>
      <c r="F34" s="145" t="s">
        <v>26</v>
      </c>
    </row>
    <row r="35" spans="2:6">
      <c r="B35" s="144" t="s">
        <v>127</v>
      </c>
      <c r="C35" s="143">
        <v>145.25</v>
      </c>
      <c r="D35" s="145" t="s">
        <v>26</v>
      </c>
      <c r="E35" s="143">
        <v>68.39</v>
      </c>
      <c r="F35" s="145" t="s">
        <v>26</v>
      </c>
    </row>
    <row r="36" spans="2:6">
      <c r="B36" s="144" t="s">
        <v>128</v>
      </c>
      <c r="C36" s="143">
        <v>106.23</v>
      </c>
      <c r="D36" s="145" t="s">
        <v>26</v>
      </c>
      <c r="E36" s="143">
        <v>29.37</v>
      </c>
      <c r="F36" s="145" t="s">
        <v>26</v>
      </c>
    </row>
    <row r="37" spans="2:6">
      <c r="B37" s="144" t="s">
        <v>16</v>
      </c>
      <c r="C37" s="143">
        <v>137.47999999999999</v>
      </c>
      <c r="D37" s="145" t="s">
        <v>26</v>
      </c>
      <c r="E37" s="143">
        <v>60.62</v>
      </c>
      <c r="F37" s="145" t="s">
        <v>26</v>
      </c>
    </row>
    <row r="39" spans="2:6">
      <c r="B39" s="178" t="s">
        <v>130</v>
      </c>
      <c r="C39" s="179"/>
      <c r="D39" s="179"/>
      <c r="E39" s="180"/>
    </row>
    <row r="40" spans="2:6" ht="60">
      <c r="B40" s="144" t="s">
        <v>116</v>
      </c>
      <c r="C40" s="144" t="s">
        <v>131</v>
      </c>
      <c r="D40" s="146" t="s">
        <v>132</v>
      </c>
      <c r="E40" s="146" t="s">
        <v>133</v>
      </c>
    </row>
    <row r="41" spans="2:6" ht="15.75">
      <c r="B41" s="175" t="s">
        <v>117</v>
      </c>
      <c r="C41" s="175"/>
      <c r="D41" s="175"/>
      <c r="E41" s="175"/>
    </row>
    <row r="42" spans="2:6" ht="15.75">
      <c r="B42" s="147" t="s">
        <v>118</v>
      </c>
      <c r="C42" s="148">
        <v>0</v>
      </c>
      <c r="D42" s="148">
        <v>0</v>
      </c>
      <c r="E42" s="148">
        <v>0</v>
      </c>
    </row>
    <row r="43" spans="2:6" ht="15.75">
      <c r="B43" s="147" t="s">
        <v>119</v>
      </c>
      <c r="C43" s="148">
        <v>0</v>
      </c>
      <c r="D43" s="148">
        <v>0</v>
      </c>
      <c r="E43" s="148">
        <v>0</v>
      </c>
    </row>
    <row r="44" spans="2:6" ht="15.75">
      <c r="B44" s="147" t="s">
        <v>120</v>
      </c>
      <c r="C44" s="148">
        <v>34.369999999999997</v>
      </c>
      <c r="D44" s="148">
        <v>81.72</v>
      </c>
      <c r="E44" s="148">
        <v>105.39</v>
      </c>
    </row>
    <row r="45" spans="2:6" ht="15.75">
      <c r="B45" s="175" t="s">
        <v>134</v>
      </c>
      <c r="C45" s="175"/>
      <c r="D45" s="175"/>
      <c r="E45" s="175"/>
    </row>
    <row r="46" spans="2:6" ht="60">
      <c r="B46" s="149"/>
      <c r="C46" s="144" t="s">
        <v>131</v>
      </c>
      <c r="D46" s="146" t="s">
        <v>132</v>
      </c>
      <c r="E46" s="146" t="s">
        <v>133</v>
      </c>
    </row>
    <row r="47" spans="2:6" ht="15.75">
      <c r="B47" s="147" t="s">
        <v>124</v>
      </c>
      <c r="C47" s="148">
        <v>0</v>
      </c>
      <c r="D47" s="148">
        <v>0</v>
      </c>
      <c r="E47" s="148">
        <v>0</v>
      </c>
    </row>
    <row r="48" spans="2:6" ht="15.75">
      <c r="B48" s="147" t="s">
        <v>125</v>
      </c>
      <c r="C48" s="148">
        <v>0</v>
      </c>
      <c r="D48" s="148">
        <v>0</v>
      </c>
      <c r="E48" s="148">
        <v>0</v>
      </c>
    </row>
    <row r="49" spans="2:5" ht="15.75">
      <c r="B49" s="147" t="s">
        <v>126</v>
      </c>
      <c r="C49" s="148">
        <v>27.74</v>
      </c>
      <c r="D49" s="148">
        <v>75.09</v>
      </c>
      <c r="E49" s="148">
        <v>98.76</v>
      </c>
    </row>
    <row r="50" spans="2:5" ht="15.75">
      <c r="B50" s="147" t="s">
        <v>127</v>
      </c>
      <c r="C50" s="148">
        <v>43.79</v>
      </c>
      <c r="D50" s="148">
        <v>91.14</v>
      </c>
      <c r="E50" s="148">
        <v>114.81</v>
      </c>
    </row>
    <row r="51" spans="2:5" ht="15.75">
      <c r="B51" s="147" t="s">
        <v>128</v>
      </c>
      <c r="C51" s="148">
        <v>4.7699999999999996</v>
      </c>
      <c r="D51" s="148">
        <v>52.12</v>
      </c>
      <c r="E51" s="148">
        <v>75.790000000000006</v>
      </c>
    </row>
    <row r="52" spans="2:5" ht="15.75">
      <c r="B52" s="147" t="s">
        <v>16</v>
      </c>
      <c r="C52" s="148">
        <v>36.020000000000003</v>
      </c>
      <c r="D52" s="148">
        <v>83.37</v>
      </c>
      <c r="E52" s="148">
        <v>52.12</v>
      </c>
    </row>
  </sheetData>
  <mergeCells count="32">
    <mergeCell ref="G3:H3"/>
    <mergeCell ref="E14:F14"/>
    <mergeCell ref="G12:H12"/>
    <mergeCell ref="G13:H13"/>
    <mergeCell ref="G14:H14"/>
    <mergeCell ref="B9:H9"/>
    <mergeCell ref="D3:E3"/>
    <mergeCell ref="D4:E4"/>
    <mergeCell ref="D5:E5"/>
    <mergeCell ref="D6:E6"/>
    <mergeCell ref="B41:E41"/>
    <mergeCell ref="B45:E45"/>
    <mergeCell ref="C29:D29"/>
    <mergeCell ref="E29:F29"/>
    <mergeCell ref="B26:F26"/>
    <mergeCell ref="B30:F30"/>
    <mergeCell ref="C27:D27"/>
    <mergeCell ref="E27:F27"/>
    <mergeCell ref="C28:D28"/>
    <mergeCell ref="E28:F28"/>
    <mergeCell ref="B39:E39"/>
    <mergeCell ref="C25:D25"/>
    <mergeCell ref="E25:F25"/>
    <mergeCell ref="B24:F24"/>
    <mergeCell ref="B15:H15"/>
    <mergeCell ref="C10:D10"/>
    <mergeCell ref="C12:D12"/>
    <mergeCell ref="C13:D13"/>
    <mergeCell ref="C14:D14"/>
    <mergeCell ref="E12:F12"/>
    <mergeCell ref="B11:H11"/>
    <mergeCell ref="E13:F13"/>
  </mergeCells>
  <pageMargins left="0.7" right="0.7" top="1.1776041666666666" bottom="0.75" header="0.3" footer="0.3"/>
  <pageSetup paperSize="9" scale="76" orientation="portrait" r:id="rId1"/>
  <headerFooter>
    <oddHeader>&amp;RThe Connecticut Light and Power Company dba Eversource Energy &amp; The United Illuminating Company
Docket No. 25-08-03
January 28, 2026
Compliance with Motion No. 11, Attachment 9
Page &amp;P of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A5257-7942-4D78-9139-1D25D10494F3}">
  <sheetPr codeName="Sheet6"/>
  <dimension ref="A1:R69"/>
  <sheetViews>
    <sheetView view="pageLayout" zoomScaleNormal="100" workbookViewId="0">
      <selection activeCell="H3" sqref="H3"/>
    </sheetView>
  </sheetViews>
  <sheetFormatPr defaultRowHeight="15"/>
  <cols>
    <col min="1" max="1" width="20.28515625" customWidth="1"/>
    <col min="2" max="2" width="14.28515625" bestFit="1" customWidth="1"/>
    <col min="3" max="3" width="40.7109375" customWidth="1"/>
    <col min="4" max="4" width="31.7109375" bestFit="1" customWidth="1"/>
    <col min="5" max="5" width="21.7109375" customWidth="1"/>
    <col min="6" max="6" width="10.5703125" customWidth="1"/>
    <col min="7" max="7" width="10.28515625" customWidth="1"/>
    <col min="10" max="10" width="25.5703125" bestFit="1" customWidth="1"/>
    <col min="11" max="11" width="24.7109375" bestFit="1" customWidth="1"/>
    <col min="12" max="12" width="10.5703125" bestFit="1" customWidth="1"/>
    <col min="13" max="13" width="12.7109375" customWidth="1"/>
    <col min="14" max="14" width="13.42578125" customWidth="1"/>
    <col min="15" max="15" width="14.7109375" customWidth="1"/>
    <col min="16" max="16" width="15.28515625" customWidth="1"/>
  </cols>
  <sheetData>
    <row r="1" spans="1:18" ht="28.15" customHeight="1">
      <c r="A1" s="181" t="s">
        <v>106</v>
      </c>
      <c r="B1" s="182"/>
      <c r="C1" s="130" t="s">
        <v>107</v>
      </c>
      <c r="D1" s="105"/>
      <c r="E1" s="181" t="s">
        <v>108</v>
      </c>
      <c r="F1" s="182"/>
      <c r="J1" s="47"/>
      <c r="N1" s="47"/>
      <c r="O1" s="47"/>
      <c r="P1" s="47"/>
      <c r="Q1" s="47"/>
      <c r="R1" s="47"/>
    </row>
    <row r="2" spans="1:18">
      <c r="A2" s="81" t="s">
        <v>111</v>
      </c>
      <c r="B2" s="128">
        <v>236.74</v>
      </c>
      <c r="C2" s="131">
        <v>338.20000000000005</v>
      </c>
      <c r="D2" s="135"/>
      <c r="E2" s="127" t="s">
        <v>110</v>
      </c>
      <c r="F2" s="93">
        <v>236.74</v>
      </c>
      <c r="G2" s="135"/>
      <c r="H2" s="135"/>
      <c r="I2" s="77"/>
      <c r="M2" s="82"/>
      <c r="N2" s="82"/>
      <c r="O2" s="82"/>
      <c r="P2" s="82"/>
      <c r="Q2" s="82"/>
    </row>
    <row r="3" spans="1:18" ht="36.75" customHeight="1">
      <c r="A3" s="81" t="s">
        <v>113</v>
      </c>
      <c r="B3" s="129">
        <v>182.94</v>
      </c>
      <c r="C3" s="131">
        <v>261.34285714285716</v>
      </c>
      <c r="D3" s="135"/>
      <c r="E3" s="127" t="s">
        <v>112</v>
      </c>
      <c r="F3" s="92">
        <f>F2*1.2</f>
        <v>284.08800000000002</v>
      </c>
      <c r="G3" s="135"/>
      <c r="I3" s="77"/>
      <c r="M3" s="82"/>
      <c r="N3" s="82"/>
      <c r="O3" s="82"/>
      <c r="P3" s="82"/>
      <c r="Q3" s="82"/>
    </row>
    <row r="4" spans="1:18" ht="39.75" customHeight="1">
      <c r="A4" s="125" t="s">
        <v>109</v>
      </c>
      <c r="B4" s="129">
        <v>250.42</v>
      </c>
      <c r="C4" s="106" t="s">
        <v>26</v>
      </c>
      <c r="D4" s="90"/>
      <c r="E4" s="127" t="s">
        <v>114</v>
      </c>
      <c r="F4" s="92">
        <f>F2*1.3</f>
        <v>307.762</v>
      </c>
      <c r="M4" s="82"/>
      <c r="N4" s="82"/>
      <c r="O4" s="82"/>
      <c r="P4" s="82"/>
      <c r="Q4" s="82"/>
    </row>
    <row r="5" spans="1:18">
      <c r="A5" s="24"/>
      <c r="B5" s="53"/>
      <c r="C5" s="126"/>
      <c r="N5" s="82"/>
      <c r="O5" s="82"/>
      <c r="P5" s="82"/>
      <c r="Q5" s="82"/>
      <c r="R5" s="82"/>
    </row>
    <row r="6" spans="1:18" ht="15.75" thickBot="1">
      <c r="N6" s="82"/>
      <c r="O6" s="82"/>
      <c r="P6" s="82"/>
      <c r="Q6" s="82"/>
      <c r="R6" s="82"/>
    </row>
    <row r="7" spans="1:18" ht="46.9" customHeight="1" thickBot="1">
      <c r="A7" s="83" t="s">
        <v>116</v>
      </c>
      <c r="B7" s="189" t="s">
        <v>135</v>
      </c>
      <c r="C7" s="190"/>
      <c r="D7" s="189" t="s">
        <v>136</v>
      </c>
      <c r="E7" s="190"/>
      <c r="F7" s="189" t="s">
        <v>137</v>
      </c>
      <c r="G7" s="190"/>
      <c r="H7" s="188"/>
      <c r="I7" s="188"/>
    </row>
    <row r="8" spans="1:18" ht="15.75" thickBot="1">
      <c r="A8" s="189" t="s">
        <v>117</v>
      </c>
      <c r="B8" s="191"/>
      <c r="C8" s="191"/>
      <c r="D8" s="191"/>
      <c r="E8" s="191"/>
      <c r="F8" s="191"/>
      <c r="G8" s="192"/>
      <c r="H8" s="98"/>
      <c r="I8" s="98"/>
    </row>
    <row r="9" spans="1:18" ht="15.75" thickBot="1">
      <c r="A9" s="84">
        <v>1</v>
      </c>
      <c r="B9" s="185">
        <v>0</v>
      </c>
      <c r="C9" s="186"/>
      <c r="D9" s="185">
        <v>0</v>
      </c>
      <c r="E9" s="186"/>
      <c r="F9" s="185">
        <v>0</v>
      </c>
      <c r="G9" s="186"/>
      <c r="H9" s="187"/>
      <c r="I9" s="187"/>
    </row>
    <row r="10" spans="1:18" ht="15.75" thickBot="1">
      <c r="A10" s="84">
        <v>5</v>
      </c>
      <c r="B10" s="185">
        <v>0</v>
      </c>
      <c r="C10" s="186"/>
      <c r="D10" s="185">
        <v>0</v>
      </c>
      <c r="E10" s="186"/>
      <c r="F10" s="185">
        <v>0</v>
      </c>
      <c r="G10" s="186"/>
      <c r="H10" s="187"/>
      <c r="I10" s="187"/>
    </row>
    <row r="11" spans="1:18" ht="15.75" thickBot="1">
      <c r="A11" s="84">
        <v>30</v>
      </c>
      <c r="B11" s="185">
        <v>81.952819344780892</v>
      </c>
      <c r="C11" s="186"/>
      <c r="D11" s="185">
        <v>68.272819344780913</v>
      </c>
      <c r="E11" s="186"/>
      <c r="F11" s="185">
        <v>14.472819344780902</v>
      </c>
      <c r="G11" s="186"/>
      <c r="H11" s="187"/>
      <c r="I11" s="187"/>
    </row>
    <row r="12" spans="1:18" ht="15.75" thickBot="1">
      <c r="A12" s="84" t="s">
        <v>44</v>
      </c>
      <c r="B12" s="185">
        <v>59.663873619901608</v>
      </c>
      <c r="C12" s="186"/>
      <c r="D12" s="185">
        <v>45.98387361990163</v>
      </c>
      <c r="E12" s="186"/>
      <c r="F12" s="185">
        <v>0</v>
      </c>
      <c r="G12" s="186"/>
      <c r="H12" s="187"/>
      <c r="I12" s="187"/>
    </row>
    <row r="13" spans="1:18" ht="15.75" thickBot="1">
      <c r="A13" s="84">
        <v>35</v>
      </c>
      <c r="B13" s="185">
        <v>85.472126564498694</v>
      </c>
      <c r="C13" s="186"/>
      <c r="D13" s="185">
        <v>71.792126564498716</v>
      </c>
      <c r="E13" s="186"/>
      <c r="F13" s="185">
        <v>17.992126564498705</v>
      </c>
      <c r="G13" s="186"/>
      <c r="H13" s="187"/>
      <c r="I13" s="187"/>
    </row>
    <row r="14" spans="1:18" ht="15.75" thickBot="1">
      <c r="A14" s="84">
        <v>40</v>
      </c>
      <c r="B14" s="185">
        <v>0</v>
      </c>
      <c r="C14" s="186"/>
      <c r="D14" s="185">
        <v>0</v>
      </c>
      <c r="E14" s="186"/>
      <c r="F14" s="185">
        <v>0</v>
      </c>
      <c r="G14" s="186"/>
      <c r="H14" s="187"/>
      <c r="I14" s="187"/>
    </row>
    <row r="15" spans="1:18" ht="15.75" thickBot="1">
      <c r="A15" s="189" t="s">
        <v>134</v>
      </c>
      <c r="B15" s="191"/>
      <c r="C15" s="191"/>
      <c r="D15" s="191"/>
      <c r="E15" s="191"/>
      <c r="F15" s="191"/>
      <c r="G15" s="192"/>
      <c r="H15" s="98"/>
      <c r="I15" s="98"/>
    </row>
    <row r="16" spans="1:18" ht="15.75" thickBot="1">
      <c r="A16" s="85"/>
      <c r="B16" s="86" t="s">
        <v>32</v>
      </c>
      <c r="C16" s="86" t="s">
        <v>123</v>
      </c>
      <c r="D16" s="86" t="s">
        <v>32</v>
      </c>
      <c r="E16" s="86" t="s">
        <v>123</v>
      </c>
      <c r="F16" s="86" t="s">
        <v>32</v>
      </c>
      <c r="G16" s="83" t="s">
        <v>123</v>
      </c>
      <c r="H16" s="98"/>
      <c r="I16" s="98"/>
    </row>
    <row r="17" spans="1:11" ht="15.75" thickBot="1">
      <c r="A17" s="84">
        <v>7</v>
      </c>
      <c r="B17" s="87">
        <v>0</v>
      </c>
      <c r="C17" s="87">
        <v>0</v>
      </c>
      <c r="D17" s="87">
        <v>0</v>
      </c>
      <c r="E17" s="87">
        <v>0</v>
      </c>
      <c r="F17" s="87">
        <v>0</v>
      </c>
      <c r="G17" s="87">
        <v>0</v>
      </c>
      <c r="H17" s="99"/>
      <c r="I17" s="99"/>
    </row>
    <row r="18" spans="1:11" ht="15.75" thickBot="1">
      <c r="A18" s="84">
        <v>27</v>
      </c>
      <c r="B18" s="87">
        <v>52.843609432846904</v>
      </c>
      <c r="C18" s="87">
        <v>66.354185489138303</v>
      </c>
      <c r="D18" s="87">
        <v>39.163609432846926</v>
      </c>
      <c r="E18" s="87">
        <v>52.674185489138324</v>
      </c>
      <c r="F18" s="87">
        <v>0</v>
      </c>
      <c r="G18" s="87">
        <v>0</v>
      </c>
      <c r="H18" s="99"/>
      <c r="I18" s="99"/>
    </row>
    <row r="19" spans="1:11" ht="15.75" thickBot="1">
      <c r="A19" s="84" t="s">
        <v>42</v>
      </c>
      <c r="B19" s="87">
        <v>28.355361988755732</v>
      </c>
      <c r="C19" s="87">
        <v>45.90398708276723</v>
      </c>
      <c r="D19" s="87">
        <v>14.675361988755753</v>
      </c>
      <c r="E19" s="87">
        <v>32.223987082767252</v>
      </c>
      <c r="F19" s="87">
        <v>0</v>
      </c>
      <c r="G19" s="87">
        <v>0</v>
      </c>
      <c r="H19" s="99"/>
      <c r="I19" s="99"/>
    </row>
    <row r="20" spans="1:11" ht="15.75" thickBot="1">
      <c r="A20" s="84">
        <v>37</v>
      </c>
      <c r="B20" s="87">
        <v>58.302723177539434</v>
      </c>
      <c r="C20" s="87">
        <v>71.072234054623834</v>
      </c>
      <c r="D20" s="87">
        <v>44.622723177539456</v>
      </c>
      <c r="E20" s="87">
        <v>57.392234054623856</v>
      </c>
      <c r="F20" s="87">
        <v>0</v>
      </c>
      <c r="G20" s="87">
        <v>3.5922340546238445</v>
      </c>
      <c r="H20" s="99"/>
      <c r="I20" s="99"/>
    </row>
    <row r="21" spans="1:11" ht="15.75" thickBot="1">
      <c r="A21" s="84">
        <v>41</v>
      </c>
      <c r="B21" s="87">
        <v>0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99"/>
      <c r="I21" s="99"/>
    </row>
    <row r="22" spans="1:11" ht="15.75" thickBot="1">
      <c r="A22" s="84">
        <v>55</v>
      </c>
      <c r="B22" s="87">
        <v>81.448488754614999</v>
      </c>
      <c r="C22" s="87">
        <v>90.45091830406372</v>
      </c>
      <c r="D22" s="87">
        <v>67.768488754615021</v>
      </c>
      <c r="E22" s="87">
        <v>76.770918304063741</v>
      </c>
      <c r="F22" s="87">
        <v>13.968488754615009</v>
      </c>
      <c r="G22" s="87">
        <v>22.97091830406373</v>
      </c>
      <c r="H22" s="99"/>
      <c r="I22" s="99"/>
    </row>
    <row r="23" spans="1:11" ht="15.75" thickBot="1">
      <c r="A23" s="84">
        <v>56</v>
      </c>
      <c r="B23" s="87">
        <v>81.119840821358764</v>
      </c>
      <c r="C23" s="87">
        <v>90.258384383314876</v>
      </c>
      <c r="D23" s="87">
        <v>67.439840821358786</v>
      </c>
      <c r="E23" s="87">
        <v>76.578384383314898</v>
      </c>
      <c r="F23" s="87">
        <v>13.639840821358774</v>
      </c>
      <c r="G23" s="87">
        <v>22.778384383314886</v>
      </c>
      <c r="H23" s="99"/>
      <c r="I23" s="99"/>
    </row>
    <row r="24" spans="1:11" ht="15.75" thickBot="1">
      <c r="A24" s="84">
        <v>57</v>
      </c>
      <c r="B24" s="87">
        <v>84.515530869128924</v>
      </c>
      <c r="C24" s="87">
        <v>91.014974966357897</v>
      </c>
      <c r="D24" s="87">
        <v>70.835530869128945</v>
      </c>
      <c r="E24" s="87">
        <v>77.334974966357919</v>
      </c>
      <c r="F24" s="87">
        <v>17.035530869128934</v>
      </c>
      <c r="G24" s="87">
        <v>23.534974966357908</v>
      </c>
      <c r="H24" s="99"/>
      <c r="I24" s="99"/>
    </row>
    <row r="25" spans="1:11" ht="15.75" thickBot="1">
      <c r="A25" s="84">
        <v>58</v>
      </c>
      <c r="B25" s="87">
        <v>85.210978284531421</v>
      </c>
      <c r="C25" s="87">
        <v>91.61337813210244</v>
      </c>
      <c r="D25" s="87">
        <v>71.530978284531443</v>
      </c>
      <c r="E25" s="87">
        <v>77.933378132102462</v>
      </c>
      <c r="F25" s="87">
        <v>17.730978284531432</v>
      </c>
      <c r="G25" s="87">
        <v>24.13337813210245</v>
      </c>
      <c r="H25" s="99"/>
      <c r="I25" s="99"/>
    </row>
    <row r="27" spans="1:11" ht="15.75" thickBot="1">
      <c r="I27" s="200"/>
      <c r="J27" s="200"/>
      <c r="K27" s="200"/>
    </row>
    <row r="28" spans="1:11" ht="15.75" thickBot="1">
      <c r="A28" s="196" t="s">
        <v>138</v>
      </c>
      <c r="B28" s="198"/>
      <c r="C28" s="198"/>
      <c r="D28" s="198"/>
      <c r="E28" s="199"/>
      <c r="F28" s="201"/>
      <c r="G28" s="202"/>
      <c r="I28" s="104"/>
      <c r="J28" s="104"/>
      <c r="K28" s="104"/>
    </row>
    <row r="29" spans="1:11" ht="15.75" thickBot="1">
      <c r="A29" s="107" t="s">
        <v>116</v>
      </c>
      <c r="B29" s="194" t="s">
        <v>111</v>
      </c>
      <c r="C29" s="195"/>
      <c r="D29" s="196" t="s">
        <v>113</v>
      </c>
      <c r="E29" s="197"/>
      <c r="F29" s="203"/>
      <c r="G29" s="203"/>
      <c r="I29" s="200"/>
      <c r="J29" s="200"/>
      <c r="K29" s="200"/>
    </row>
    <row r="30" spans="1:11" ht="15.75" thickBot="1">
      <c r="A30" s="196" t="s">
        <v>117</v>
      </c>
      <c r="B30" s="198"/>
      <c r="C30" s="198"/>
      <c r="D30" s="198"/>
      <c r="E30" s="199"/>
      <c r="F30" s="117"/>
      <c r="G30" s="117"/>
    </row>
    <row r="31" spans="1:11" ht="15.75" thickBot="1">
      <c r="A31" s="107">
        <v>1</v>
      </c>
      <c r="B31" s="185">
        <v>0</v>
      </c>
      <c r="C31" s="186"/>
      <c r="D31" s="185">
        <v>0</v>
      </c>
      <c r="E31" s="186"/>
      <c r="F31" s="193"/>
      <c r="G31" s="193"/>
    </row>
    <row r="32" spans="1:11" ht="15.75" thickBot="1">
      <c r="A32" s="107">
        <v>5</v>
      </c>
      <c r="B32" s="185">
        <f>$C$2-H42</f>
        <v>26.396636636550056</v>
      </c>
      <c r="C32" s="186"/>
      <c r="D32" s="185">
        <v>0</v>
      </c>
      <c r="E32" s="186"/>
      <c r="F32" s="193"/>
      <c r="G32" s="193"/>
    </row>
    <row r="33" spans="1:15" ht="15.75" thickBot="1">
      <c r="A33" s="107">
        <v>30</v>
      </c>
      <c r="B33" s="185">
        <f>$C$2-H43</f>
        <v>169.73281934478095</v>
      </c>
      <c r="C33" s="186"/>
      <c r="D33" s="185">
        <f>$C$3-H43</f>
        <v>92.87567648763806</v>
      </c>
      <c r="E33" s="186"/>
      <c r="F33" s="193"/>
      <c r="G33" s="193"/>
    </row>
    <row r="34" spans="1:15" ht="15.75" thickBot="1">
      <c r="A34" s="107" t="s">
        <v>44</v>
      </c>
      <c r="B34" s="185">
        <f>$C$2-H44</f>
        <v>147.44387361990167</v>
      </c>
      <c r="C34" s="186"/>
      <c r="D34" s="185">
        <f>$C$3-H44</f>
        <v>70.586730762758776</v>
      </c>
      <c r="E34" s="186"/>
      <c r="F34" s="193"/>
      <c r="G34" s="193"/>
    </row>
    <row r="35" spans="1:15" ht="15.75" thickBot="1">
      <c r="A35" s="110">
        <v>35</v>
      </c>
      <c r="B35" s="185">
        <f>$C$2-H45</f>
        <v>173.25212656449875</v>
      </c>
      <c r="C35" s="186"/>
      <c r="D35" s="185">
        <f>$C$3-H45</f>
        <v>96.394983707355863</v>
      </c>
      <c r="E35" s="186"/>
      <c r="F35" s="193"/>
      <c r="G35" s="193"/>
    </row>
    <row r="36" spans="1:15" ht="15.75" thickBot="1">
      <c r="A36" s="107">
        <v>40</v>
      </c>
      <c r="B36" s="185">
        <f>$C$2-H46</f>
        <v>54.055246985328722</v>
      </c>
      <c r="C36" s="186"/>
      <c r="D36" s="185">
        <v>0</v>
      </c>
      <c r="E36" s="186"/>
      <c r="F36" s="118"/>
      <c r="G36" s="118"/>
      <c r="I36" s="200"/>
      <c r="J36" s="200"/>
      <c r="K36" s="200"/>
    </row>
    <row r="37" spans="1:15" ht="15.75" thickBot="1">
      <c r="A37" s="196" t="s">
        <v>121</v>
      </c>
      <c r="B37" s="198"/>
      <c r="C37" s="198"/>
      <c r="D37" s="198"/>
      <c r="E37" s="199"/>
      <c r="F37" s="117"/>
      <c r="G37" s="117"/>
      <c r="I37" s="117"/>
      <c r="J37" s="117"/>
      <c r="K37" s="117"/>
      <c r="L37" s="117"/>
      <c r="M37" s="117"/>
      <c r="N37" s="117"/>
      <c r="O37" s="117"/>
    </row>
    <row r="38" spans="1:15" ht="15.75" thickBot="1">
      <c r="A38" s="107"/>
      <c r="B38" s="120" t="s">
        <v>32</v>
      </c>
      <c r="C38" s="120" t="s">
        <v>123</v>
      </c>
      <c r="D38" s="120" t="s">
        <v>32</v>
      </c>
      <c r="E38" s="110" t="s">
        <v>123</v>
      </c>
      <c r="F38" s="117"/>
      <c r="G38" s="117"/>
      <c r="I38" s="119"/>
      <c r="J38" s="118"/>
      <c r="K38" s="118"/>
      <c r="L38" s="118"/>
      <c r="M38" s="118"/>
      <c r="N38" s="118"/>
      <c r="O38" s="118"/>
    </row>
    <row r="39" spans="1:15" ht="15.75" thickBot="1">
      <c r="A39" s="112">
        <v>7</v>
      </c>
      <c r="B39" s="87">
        <v>0</v>
      </c>
      <c r="C39" s="113" t="s">
        <v>26</v>
      </c>
      <c r="D39" s="87">
        <v>0</v>
      </c>
      <c r="E39" s="121" t="s">
        <v>26</v>
      </c>
      <c r="F39" s="118"/>
      <c r="G39" s="95" t="s">
        <v>139</v>
      </c>
      <c r="H39" s="47"/>
      <c r="I39" s="47"/>
      <c r="J39" s="118"/>
      <c r="K39" s="118"/>
      <c r="L39" s="118"/>
      <c r="M39" s="118"/>
      <c r="N39" s="118"/>
      <c r="O39" s="118"/>
    </row>
    <row r="40" spans="1:15" ht="15.75" thickBot="1">
      <c r="A40" s="112">
        <v>27</v>
      </c>
      <c r="B40" s="87">
        <f t="shared" ref="B40:B47" si="0">$C$2-H50</f>
        <v>140.62360943284696</v>
      </c>
      <c r="C40" s="113" t="s">
        <v>26</v>
      </c>
      <c r="D40" s="87">
        <f>$C$3-H50</f>
        <v>63.766466575704072</v>
      </c>
      <c r="E40" s="122" t="s">
        <v>26</v>
      </c>
      <c r="F40" s="118"/>
      <c r="G40" s="102" t="s">
        <v>140</v>
      </c>
      <c r="H40" s="47"/>
      <c r="I40" s="82"/>
      <c r="J40" s="118"/>
      <c r="K40" s="118"/>
      <c r="L40" s="118"/>
      <c r="M40" s="118"/>
      <c r="N40" s="118"/>
      <c r="O40" s="118"/>
    </row>
    <row r="41" spans="1:15" ht="15.75" thickBot="1">
      <c r="A41" s="112" t="s">
        <v>42</v>
      </c>
      <c r="B41" s="87">
        <f t="shared" si="0"/>
        <v>116.13536198875579</v>
      </c>
      <c r="C41" s="113" t="s">
        <v>26</v>
      </c>
      <c r="D41" s="87">
        <f>$C$3-H51</f>
        <v>39.2782191316129</v>
      </c>
      <c r="E41" s="122" t="s">
        <v>26</v>
      </c>
      <c r="F41" s="118"/>
      <c r="G41" s="100">
        <v>1</v>
      </c>
      <c r="H41" s="68">
        <v>342.35240129130966</v>
      </c>
      <c r="I41" s="82"/>
      <c r="J41" s="118"/>
      <c r="K41" s="118"/>
      <c r="L41" s="118"/>
      <c r="M41" s="118"/>
      <c r="N41" s="118"/>
      <c r="O41" s="118"/>
    </row>
    <row r="42" spans="1:15" ht="15.75" thickBot="1">
      <c r="A42" s="107">
        <v>37</v>
      </c>
      <c r="B42" s="87">
        <f t="shared" si="0"/>
        <v>146.08272317753949</v>
      </c>
      <c r="C42" s="113" t="s">
        <v>26</v>
      </c>
      <c r="D42" s="87">
        <f>$C$3-H52</f>
        <v>69.225580320396602</v>
      </c>
      <c r="E42" s="122" t="s">
        <v>26</v>
      </c>
      <c r="F42" s="118"/>
      <c r="G42" s="100">
        <v>5</v>
      </c>
      <c r="H42" s="68">
        <v>311.80336336344999</v>
      </c>
      <c r="I42" s="82"/>
      <c r="J42" s="118"/>
      <c r="K42" s="118"/>
      <c r="L42" s="118"/>
      <c r="M42" s="118"/>
      <c r="N42" s="118"/>
      <c r="O42" s="118"/>
    </row>
    <row r="43" spans="1:15" ht="15.75" thickBot="1">
      <c r="A43" s="107">
        <v>41</v>
      </c>
      <c r="B43" s="87">
        <f>$C$2-H53</f>
        <v>70.199576737323582</v>
      </c>
      <c r="C43" s="113" t="s">
        <v>26</v>
      </c>
      <c r="D43" s="87">
        <v>0</v>
      </c>
      <c r="E43" s="122" t="s">
        <v>26</v>
      </c>
      <c r="F43" s="118"/>
      <c r="G43" s="100">
        <v>30</v>
      </c>
      <c r="H43" s="68">
        <v>168.4671806552191</v>
      </c>
      <c r="I43" s="82"/>
      <c r="J43" s="118"/>
      <c r="K43" s="118"/>
      <c r="L43" s="118"/>
      <c r="M43" s="118"/>
      <c r="N43" s="118"/>
      <c r="O43" s="118"/>
    </row>
    <row r="44" spans="1:15" ht="15.75" thickBot="1">
      <c r="A44" s="107">
        <v>55</v>
      </c>
      <c r="B44" s="87">
        <f t="shared" si="0"/>
        <v>169.22848875461506</v>
      </c>
      <c r="C44" s="113" t="s">
        <v>26</v>
      </c>
      <c r="D44" s="87">
        <f>$C$3-H54</f>
        <v>92.371345897472168</v>
      </c>
      <c r="E44" s="122" t="s">
        <v>26</v>
      </c>
      <c r="F44" s="118"/>
      <c r="G44" s="100" t="s">
        <v>44</v>
      </c>
      <c r="H44" s="94">
        <v>190.75612638009838</v>
      </c>
      <c r="I44" s="82"/>
      <c r="J44" s="118"/>
      <c r="K44" s="118"/>
      <c r="L44" s="118"/>
      <c r="M44" s="118"/>
      <c r="N44" s="118"/>
      <c r="O44" s="118"/>
    </row>
    <row r="45" spans="1:15" ht="15.75" thickBot="1">
      <c r="A45" s="107">
        <v>56</v>
      </c>
      <c r="B45" s="87">
        <f t="shared" si="0"/>
        <v>168.89984082135882</v>
      </c>
      <c r="C45" s="113" t="s">
        <v>26</v>
      </c>
      <c r="D45" s="87">
        <f>$C$3-H55</f>
        <v>92.042697964215932</v>
      </c>
      <c r="E45" s="122" t="s">
        <v>26</v>
      </c>
      <c r="F45" s="118"/>
      <c r="G45" s="101">
        <v>35</v>
      </c>
      <c r="H45" s="97">
        <v>164.94787343550129</v>
      </c>
      <c r="J45" s="118"/>
      <c r="K45" s="118"/>
      <c r="L45" s="118"/>
      <c r="M45" s="118"/>
      <c r="N45" s="118"/>
      <c r="O45" s="118"/>
    </row>
    <row r="46" spans="1:15" ht="15.75" thickBot="1">
      <c r="A46" s="114">
        <v>57</v>
      </c>
      <c r="B46" s="87">
        <f t="shared" si="0"/>
        <v>172.29553086912898</v>
      </c>
      <c r="C46" s="113" t="s">
        <v>26</v>
      </c>
      <c r="D46" s="87">
        <f>$C$3-H56</f>
        <v>95.438388011986092</v>
      </c>
      <c r="E46" s="122" t="s">
        <v>26</v>
      </c>
      <c r="F46" s="118"/>
      <c r="G46" s="102">
        <v>40</v>
      </c>
      <c r="H46" s="97">
        <v>284.14475301467132</v>
      </c>
      <c r="J46" s="118"/>
      <c r="K46" s="118"/>
      <c r="L46" s="118"/>
      <c r="M46" s="118"/>
      <c r="N46" s="118"/>
      <c r="O46" s="118"/>
    </row>
    <row r="47" spans="1:15" ht="15.75" thickBot="1">
      <c r="A47" s="115">
        <v>58</v>
      </c>
      <c r="B47" s="87">
        <f t="shared" si="0"/>
        <v>172.99097828453148</v>
      </c>
      <c r="C47" s="113" t="s">
        <v>26</v>
      </c>
      <c r="D47" s="87">
        <f>$C$3-H57</f>
        <v>96.13383542738859</v>
      </c>
      <c r="E47" s="122" t="s">
        <v>26</v>
      </c>
      <c r="F47" s="118"/>
    </row>
    <row r="48" spans="1:15" ht="15.75">
      <c r="A48" s="116"/>
      <c r="G48" s="102" t="s">
        <v>141</v>
      </c>
      <c r="H48" s="104" t="s">
        <v>32</v>
      </c>
      <c r="I48" s="104" t="s">
        <v>14</v>
      </c>
    </row>
    <row r="49" spans="1:9" ht="16.5" thickBot="1">
      <c r="A49" s="116"/>
      <c r="G49" s="102">
        <v>7</v>
      </c>
      <c r="H49" s="97">
        <v>352.73979184114592</v>
      </c>
      <c r="I49" s="96">
        <v>332.01265249210013</v>
      </c>
    </row>
    <row r="50" spans="1:9" ht="15.75" thickBot="1">
      <c r="A50" s="196" t="s">
        <v>130</v>
      </c>
      <c r="B50" s="198"/>
      <c r="C50" s="198"/>
      <c r="D50" s="199"/>
      <c r="E50" s="117"/>
      <c r="F50" s="117"/>
      <c r="G50" s="102">
        <v>27</v>
      </c>
      <c r="H50" s="97">
        <v>197.57639056715308</v>
      </c>
      <c r="I50" s="96">
        <v>184.06581451086168</v>
      </c>
    </row>
    <row r="51" spans="1:9" ht="15.75" thickBot="1">
      <c r="A51" s="107" t="s">
        <v>116</v>
      </c>
      <c r="B51" s="109" t="s">
        <v>131</v>
      </c>
      <c r="C51" s="108" t="s">
        <v>132</v>
      </c>
      <c r="D51" s="110" t="s">
        <v>133</v>
      </c>
      <c r="E51" s="117"/>
      <c r="F51" s="117"/>
      <c r="G51" s="102" t="s">
        <v>42</v>
      </c>
      <c r="H51" s="97">
        <v>222.06463801124426</v>
      </c>
      <c r="I51" s="96">
        <v>204.51601291723276</v>
      </c>
    </row>
    <row r="52" spans="1:9" ht="15.75" thickBot="1">
      <c r="A52" s="196" t="s">
        <v>117</v>
      </c>
      <c r="B52" s="198"/>
      <c r="C52" s="198"/>
      <c r="D52" s="199"/>
      <c r="E52" s="117"/>
      <c r="F52" s="117"/>
      <c r="G52" s="102">
        <v>37</v>
      </c>
      <c r="H52" s="97">
        <v>192.11727682246055</v>
      </c>
      <c r="I52" s="96">
        <v>179.34776594537615</v>
      </c>
    </row>
    <row r="53" spans="1:9" ht="15.75" thickBot="1">
      <c r="A53" s="107">
        <v>1</v>
      </c>
      <c r="B53" s="123">
        <v>0</v>
      </c>
      <c r="C53" s="132">
        <v>0</v>
      </c>
      <c r="D53" s="132">
        <v>0</v>
      </c>
      <c r="E53" s="118"/>
      <c r="F53" s="118"/>
      <c r="G53" s="103">
        <v>41</v>
      </c>
      <c r="H53" s="97">
        <v>268.00042326267646</v>
      </c>
      <c r="I53" s="96">
        <v>254.12687650636528</v>
      </c>
    </row>
    <row r="54" spans="1:9" ht="15.75" thickBot="1">
      <c r="A54" s="107">
        <v>5</v>
      </c>
      <c r="B54" s="123">
        <v>0</v>
      </c>
      <c r="C54" s="132">
        <v>0</v>
      </c>
      <c r="D54" s="132">
        <v>0</v>
      </c>
      <c r="E54" s="118"/>
      <c r="F54" s="118"/>
      <c r="G54" s="102">
        <v>55</v>
      </c>
      <c r="H54" s="96">
        <v>168.97151124538499</v>
      </c>
      <c r="I54" s="96">
        <v>159.96908169593627</v>
      </c>
    </row>
    <row r="55" spans="1:9" ht="15.75" thickBot="1">
      <c r="A55" s="107">
        <v>30</v>
      </c>
      <c r="B55" s="123">
        <f>$F$2-H43</f>
        <v>68.272819344780913</v>
      </c>
      <c r="C55" s="132">
        <f>$F$3-H43</f>
        <v>115.62081934478093</v>
      </c>
      <c r="D55" s="132">
        <f>$F$4-H43</f>
        <v>139.2948193447809</v>
      </c>
      <c r="E55" s="118"/>
      <c r="F55" s="118"/>
      <c r="G55" s="102">
        <v>56</v>
      </c>
      <c r="H55" s="96">
        <v>169.30015917864122</v>
      </c>
      <c r="I55" s="96">
        <v>160.16161561668511</v>
      </c>
    </row>
    <row r="56" spans="1:9" ht="15.75" thickBot="1">
      <c r="A56" s="107" t="s">
        <v>44</v>
      </c>
      <c r="B56" s="123">
        <f>$F$2-H44</f>
        <v>45.98387361990163</v>
      </c>
      <c r="C56" s="132">
        <f>$F$3-H44</f>
        <v>93.331873619901643</v>
      </c>
      <c r="D56" s="132">
        <f>$F$4-H44</f>
        <v>117.00587361990162</v>
      </c>
      <c r="E56" s="118"/>
      <c r="F56" s="118"/>
      <c r="G56" s="102">
        <v>57</v>
      </c>
      <c r="H56" s="96">
        <v>165.90446913087106</v>
      </c>
      <c r="I56" s="96">
        <v>159.40502503364209</v>
      </c>
    </row>
    <row r="57" spans="1:9" ht="15.75" thickBot="1">
      <c r="A57" s="107">
        <v>35</v>
      </c>
      <c r="B57" s="123">
        <f>$F$2-H45</f>
        <v>71.792126564498716</v>
      </c>
      <c r="C57" s="132">
        <f>$F$3-H45</f>
        <v>119.14012656449873</v>
      </c>
      <c r="D57" s="132">
        <f>$F$4-H45</f>
        <v>142.81412656449871</v>
      </c>
      <c r="E57" s="118"/>
      <c r="F57" s="118"/>
      <c r="G57" s="102">
        <v>58</v>
      </c>
      <c r="H57" s="96">
        <v>165.20902171546857</v>
      </c>
      <c r="I57" s="96">
        <v>158.80662186789755</v>
      </c>
    </row>
    <row r="58" spans="1:9" ht="15.75" thickBot="1">
      <c r="A58" s="107">
        <v>40</v>
      </c>
      <c r="B58" s="123">
        <v>0</v>
      </c>
      <c r="C58" s="132">
        <v>0</v>
      </c>
      <c r="D58" s="132">
        <f>$F$4-H46</f>
        <v>23.617246985328677</v>
      </c>
      <c r="E58" s="118"/>
      <c r="F58" s="118"/>
    </row>
    <row r="59" spans="1:9" ht="15.75" thickBot="1">
      <c r="A59" s="196" t="s">
        <v>121</v>
      </c>
      <c r="B59" s="198"/>
      <c r="C59" s="198"/>
      <c r="D59" s="199"/>
      <c r="E59" s="117"/>
      <c r="F59" s="117"/>
      <c r="G59" s="117"/>
    </row>
    <row r="60" spans="1:9" ht="33.6" customHeight="1" thickBot="1">
      <c r="A60" s="110"/>
      <c r="B60" s="111" t="s">
        <v>131</v>
      </c>
      <c r="C60" s="110" t="s">
        <v>132</v>
      </c>
      <c r="D60" s="110" t="s">
        <v>133</v>
      </c>
      <c r="G60" s="116"/>
    </row>
    <row r="61" spans="1:9" ht="16.5" thickBot="1">
      <c r="A61" s="112">
        <v>7</v>
      </c>
      <c r="B61" s="124">
        <v>0</v>
      </c>
      <c r="C61" s="132">
        <v>0</v>
      </c>
      <c r="D61" s="132">
        <v>0</v>
      </c>
      <c r="E61" s="118"/>
      <c r="F61" s="118"/>
      <c r="G61" s="116"/>
    </row>
    <row r="62" spans="1:9" ht="16.5" thickBot="1">
      <c r="A62" s="112">
        <v>27</v>
      </c>
      <c r="B62" s="124">
        <f>$F$2-H50</f>
        <v>39.163609432846926</v>
      </c>
      <c r="C62" s="132">
        <f t="shared" ref="C62:C69" si="1">$F$3-H50</f>
        <v>86.511609432846939</v>
      </c>
      <c r="D62" s="132">
        <f t="shared" ref="D62:D69" si="2">$F$4-H50</f>
        <v>110.18560943284692</v>
      </c>
      <c r="E62" s="118"/>
      <c r="F62" s="118"/>
      <c r="G62" s="116"/>
    </row>
    <row r="63" spans="1:9" ht="16.5" thickBot="1">
      <c r="A63" s="112" t="s">
        <v>42</v>
      </c>
      <c r="B63" s="124">
        <f>$F$2-H51</f>
        <v>14.675361988755753</v>
      </c>
      <c r="C63" s="132">
        <f t="shared" si="1"/>
        <v>62.023361988755767</v>
      </c>
      <c r="D63" s="132">
        <f t="shared" si="2"/>
        <v>85.697361988755745</v>
      </c>
      <c r="E63" s="118"/>
      <c r="F63" s="118"/>
      <c r="G63" s="116"/>
    </row>
    <row r="64" spans="1:9" ht="16.5" thickBot="1">
      <c r="A64" s="107">
        <v>37</v>
      </c>
      <c r="B64" s="124">
        <f>$F$2-H52</f>
        <v>44.622723177539456</v>
      </c>
      <c r="C64" s="132">
        <f t="shared" si="1"/>
        <v>91.970723177539469</v>
      </c>
      <c r="D64" s="132">
        <f t="shared" si="2"/>
        <v>115.64472317753945</v>
      </c>
      <c r="E64" s="118"/>
      <c r="F64" s="118"/>
      <c r="G64" s="116"/>
    </row>
    <row r="65" spans="1:7" ht="16.5" thickBot="1">
      <c r="A65" s="107">
        <v>41</v>
      </c>
      <c r="B65" s="124">
        <v>0</v>
      </c>
      <c r="C65" s="132">
        <f t="shared" si="1"/>
        <v>16.087576737323559</v>
      </c>
      <c r="D65" s="132">
        <f t="shared" si="2"/>
        <v>39.761576737323537</v>
      </c>
      <c r="E65" s="118"/>
      <c r="F65" s="118"/>
      <c r="G65" s="116"/>
    </row>
    <row r="66" spans="1:7" ht="16.5" thickBot="1">
      <c r="A66" s="107">
        <v>55</v>
      </c>
      <c r="B66" s="124">
        <f>$F$2-H54</f>
        <v>67.768488754615021</v>
      </c>
      <c r="C66" s="132">
        <f t="shared" si="1"/>
        <v>115.11648875461503</v>
      </c>
      <c r="D66" s="132">
        <f t="shared" si="2"/>
        <v>138.79048875461501</v>
      </c>
      <c r="E66" s="118"/>
      <c r="F66" s="118"/>
      <c r="G66" s="116"/>
    </row>
    <row r="67" spans="1:7" ht="16.5" thickBot="1">
      <c r="A67" s="107">
        <v>56</v>
      </c>
      <c r="B67" s="124">
        <f>$F$2-H55</f>
        <v>67.439840821358786</v>
      </c>
      <c r="C67" s="132">
        <f t="shared" si="1"/>
        <v>114.7878408213588</v>
      </c>
      <c r="D67" s="132">
        <f t="shared" si="2"/>
        <v>138.46184082135878</v>
      </c>
      <c r="E67" s="118"/>
      <c r="F67" s="118"/>
      <c r="G67" s="116"/>
    </row>
    <row r="68" spans="1:7" ht="16.5" thickBot="1">
      <c r="A68" s="114">
        <v>57</v>
      </c>
      <c r="B68" s="124">
        <f>$F$2-H56</f>
        <v>70.835530869128945</v>
      </c>
      <c r="C68" s="132">
        <f t="shared" si="1"/>
        <v>118.18353086912896</v>
      </c>
      <c r="D68" s="132">
        <f t="shared" si="2"/>
        <v>141.85753086912894</v>
      </c>
      <c r="E68" s="118"/>
      <c r="F68" s="118"/>
      <c r="G68" s="116"/>
    </row>
    <row r="69" spans="1:7" ht="16.5" thickBot="1">
      <c r="A69" s="115">
        <v>58</v>
      </c>
      <c r="B69" s="124">
        <f>$F$2-H57</f>
        <v>71.530978284531443</v>
      </c>
      <c r="C69" s="132">
        <f t="shared" si="1"/>
        <v>118.87897828453146</v>
      </c>
      <c r="D69" s="132">
        <f t="shared" si="2"/>
        <v>142.55297828453143</v>
      </c>
      <c r="E69" s="118"/>
      <c r="F69" s="118"/>
      <c r="G69" s="116"/>
    </row>
  </sheetData>
  <sheetProtection algorithmName="SHA-512" hashValue="MeTRfZmFrlLdKmTk8skyI1eH9DLMW1XBXLnlCu3PcQ1b164d+vReJWlNN6143VoXjJorV+SAJmXyDHrWyizC0A==" saltValue="5pfap9Z85p8VkcO833sfYg==" spinCount="100000" sheet="1" objects="1" scenarios="1"/>
  <mergeCells count="62">
    <mergeCell ref="I27:K27"/>
    <mergeCell ref="I29:K29"/>
    <mergeCell ref="I36:K36"/>
    <mergeCell ref="A30:E30"/>
    <mergeCell ref="A28:E28"/>
    <mergeCell ref="F28:G28"/>
    <mergeCell ref="F35:G35"/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A37:E37"/>
    <mergeCell ref="A50:D50"/>
    <mergeCell ref="A52:D52"/>
    <mergeCell ref="A59:D59"/>
    <mergeCell ref="B35:C35"/>
    <mergeCell ref="D35:E35"/>
    <mergeCell ref="B36:C36"/>
    <mergeCell ref="D36:E36"/>
    <mergeCell ref="B32:C32"/>
    <mergeCell ref="D32:E32"/>
    <mergeCell ref="F32:G32"/>
    <mergeCell ref="A15:G15"/>
    <mergeCell ref="B29:C29"/>
    <mergeCell ref="D29:E29"/>
    <mergeCell ref="F29:G29"/>
    <mergeCell ref="H14:I14"/>
    <mergeCell ref="B7:C7"/>
    <mergeCell ref="D7:E7"/>
    <mergeCell ref="F7:G7"/>
    <mergeCell ref="B9:C9"/>
    <mergeCell ref="D9:E9"/>
    <mergeCell ref="F9:G9"/>
    <mergeCell ref="D14:E14"/>
    <mergeCell ref="B11:C11"/>
    <mergeCell ref="D11:E11"/>
    <mergeCell ref="F11:G11"/>
    <mergeCell ref="F13:G13"/>
    <mergeCell ref="F14:G14"/>
    <mergeCell ref="A8:G8"/>
    <mergeCell ref="H11:I11"/>
    <mergeCell ref="B14:C14"/>
    <mergeCell ref="B13:C13"/>
    <mergeCell ref="D13:E13"/>
    <mergeCell ref="E1:F1"/>
    <mergeCell ref="H12:I12"/>
    <mergeCell ref="H13:I13"/>
    <mergeCell ref="B12:C12"/>
    <mergeCell ref="D12:E12"/>
    <mergeCell ref="F12:G12"/>
    <mergeCell ref="A1:B1"/>
    <mergeCell ref="B10:C10"/>
    <mergeCell ref="D10:E10"/>
    <mergeCell ref="F10:G10"/>
    <mergeCell ref="H9:I9"/>
    <mergeCell ref="H10:I10"/>
    <mergeCell ref="H7:I7"/>
  </mergeCells>
  <pageMargins left="0.7" right="0.7" top="1.1776041666666666" bottom="0.75" header="0.3" footer="0.3"/>
  <pageSetup paperSize="9" scale="76" orientation="landscape" r:id="rId1"/>
  <headerFooter>
    <oddHeader>&amp;RThe Connecticut Light and Power Company dba Eversource Energy &amp; The United Illuminating Company
Docket No. 25-08-03
January 28, 2026
Compliance with Motion No. 11, Attachment 9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3E87C4-C861-4C40-A072-9C7AF7BD5C78}"/>
</file>

<file path=customXml/itemProps2.xml><?xml version="1.0" encoding="utf-8"?>
<ds:datastoreItem xmlns:ds="http://schemas.openxmlformats.org/officeDocument/2006/customXml" ds:itemID="{BEE70451-CD67-46B9-A7AF-376AFA4D5D8B}"/>
</file>

<file path=customXml/itemProps3.xml><?xml version="1.0" encoding="utf-8"?>
<ds:datastoreItem xmlns:ds="http://schemas.openxmlformats.org/officeDocument/2006/customXml" ds:itemID="{034006D6-9426-4FFC-93F5-58D79BB4B9BB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/>
  <cp:revision/>
  <dcterms:created xsi:type="dcterms:W3CDTF">2021-08-16T16:47:41Z</dcterms:created>
  <dcterms:modified xsi:type="dcterms:W3CDTF">2026-02-02T18:21:21Z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2021-12-07T14:35:38Z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ed3283e2-1b22-49fa-9bee-e1f661933212</vt:lpwstr>
  </property>
  <property fmtid="{D5CDD505-2E9C-101B-9397-08002B2CF9AE}" pid="9" name="MSIP_Label_624b1752-a977-4927-b9e6-e48a43684aee_ContentBits">
    <vt:lpwstr>0</vt:lpwstr>
  </property>
  <property fmtid="{D5CDD505-2E9C-101B-9397-08002B2CF9AE}" pid="10" name="_AdHocReviewCycleID">
    <vt:i4>-696045739</vt:i4>
  </property>
  <property fmtid="{D5CDD505-2E9C-101B-9397-08002B2CF9AE}" pid="11" name="_NewReviewCycle">
    <vt:lpwstr/>
  </property>
  <property fmtid="{D5CDD505-2E9C-101B-9397-08002B2CF9AE}" pid="12" name="_EmailSubject">
    <vt:lpwstr>Please File this Motion to Approve - Order 5 DN 21-08-03</vt:lpwstr>
  </property>
  <property fmtid="{D5CDD505-2E9C-101B-9397-08002B2CF9AE}" pid="13" name="_AuthorEmail">
    <vt:lpwstr>Christie.Prescott@uinet.com</vt:lpwstr>
  </property>
  <property fmtid="{D5CDD505-2E9C-101B-9397-08002B2CF9AE}" pid="14" name="_AuthorEmailDisplayName">
    <vt:lpwstr>CHRISTIE PRESCOTT</vt:lpwstr>
  </property>
  <property fmtid="{D5CDD505-2E9C-101B-9397-08002B2CF9AE}" pid="15" name="_PreviousAdHocReviewCycleID">
    <vt:i4>-395085262</vt:i4>
  </property>
  <property fmtid="{D5CDD505-2E9C-101B-9397-08002B2CF9AE}" pid="16" name="_ReviewingToolsShownOnce">
    <vt:lpwstr/>
  </property>
</Properties>
</file>