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agrfil01.amer.iberdrola.local\VolM1\User\WRK_GRP\Power_Procurement\RFPs\RFP July 22 2026\Sample Bidder Workbooks\"/>
    </mc:Choice>
  </mc:AlternateContent>
  <xr:revisionPtr revIDLastSave="0" documentId="13_ncr:1_{9B8CA351-91A6-4DB0-86A1-D4B35BD7DB00}" xr6:coauthVersionLast="47" xr6:coauthVersionMax="47" xr10:uidLastSave="{00000000-0000-0000-0000-000000000000}"/>
  <bookViews>
    <workbookView xWindow="33660" yWindow="975" windowWidth="20580" windowHeight="14325" activeTab="1" xr2:uid="{00000000-000D-0000-FFFF-FFFF00000000}"/>
  </bookViews>
  <sheets>
    <sheet name="Instructions &amp; Summary" sheetId="1" r:id="rId1"/>
    <sheet name="Bidding Load" sheetId="2" r:id="rId2"/>
    <sheet name="Tranche 1" sheetId="3" r:id="rId3"/>
    <sheet name="Tranche 2" sheetId="4" r:id="rId4"/>
    <sheet name="Tranche 3" sheetId="5" r:id="rId5"/>
    <sheet name="Tranche 4" sheetId="6" r:id="rId6"/>
    <sheet name="Tranche 5" sheetId="7" r:id="rId7"/>
    <sheet name="Tranche 6" sheetId="8" r:id="rId8"/>
    <sheet name="Tranche 7" sheetId="9" r:id="rId9"/>
    <sheet name="Tranche 8" sheetId="16" r:id="rId10"/>
    <sheet name="Tranche_8" sheetId="10" state="hidden" r:id="rId11"/>
    <sheet name="T1 Confirm" sheetId="11" r:id="rId12"/>
    <sheet name="T2 Confirm" sheetId="14" r:id="rId1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'Bidding Load'!$A$1:$F$40</definedName>
    <definedName name="_xlnm.Print_Area" localSheetId="0">'Instructions &amp; Summary'!$A$1:$F$29</definedName>
    <definedName name="_xlnm.Print_Area" localSheetId="2">'Tranche 1'!$A$1:$N$34</definedName>
    <definedName name="_xlnm.Print_Area" localSheetId="3">'Tranche 2'!$A$1:$N$34</definedName>
    <definedName name="_xlnm.Print_Area" localSheetId="4">'Tranche 3'!$A$1:$N$34</definedName>
    <definedName name="_xlnm.Print_Area" localSheetId="5">'Tranche 4'!$A$1:$N$34</definedName>
    <definedName name="_xlnm.Print_Area" localSheetId="6">'Tranche 5'!$A$1:$N$34</definedName>
    <definedName name="_xlnm.Print_Area" localSheetId="7">'Tranche 6'!$A$1:$N$34</definedName>
    <definedName name="_xlnm.Print_Area" localSheetId="8">'Tranche 7'!$A$1:$N$34</definedName>
    <definedName name="_xlnm.Print_Area" localSheetId="9">'Tranche 8'!$A$1:$N$34</definedName>
    <definedName name="_xlnm.Print_Area" localSheetId="10">Tranche_8!$A$1:$N$34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2" l="1"/>
  <c r="A4" i="11"/>
  <c r="B4" i="11"/>
  <c r="C4" i="11"/>
  <c r="D4" i="11"/>
  <c r="E4" i="11"/>
  <c r="A5" i="11"/>
  <c r="B5" i="11"/>
  <c r="C5" i="11"/>
  <c r="D5" i="11"/>
  <c r="E5" i="11"/>
  <c r="A6" i="11"/>
  <c r="B6" i="11"/>
  <c r="C6" i="11"/>
  <c r="D6" i="11"/>
  <c r="E6" i="11"/>
  <c r="A7" i="11"/>
  <c r="B7" i="11"/>
  <c r="C7" i="11"/>
  <c r="D7" i="11"/>
  <c r="E7" i="11"/>
  <c r="A8" i="11"/>
  <c r="B8" i="11"/>
  <c r="C8" i="11"/>
  <c r="D8" i="11"/>
  <c r="E8" i="11"/>
  <c r="A9" i="11"/>
  <c r="B9" i="11"/>
  <c r="C9" i="11"/>
  <c r="D9" i="11"/>
  <c r="E9" i="11"/>
  <c r="A12" i="11"/>
  <c r="B12" i="11"/>
  <c r="C12" i="11"/>
  <c r="D12" i="11"/>
  <c r="E12" i="11"/>
  <c r="A13" i="11"/>
  <c r="B13" i="11"/>
  <c r="C13" i="11"/>
  <c r="D13" i="11"/>
  <c r="E13" i="11"/>
  <c r="A14" i="11"/>
  <c r="B14" i="11"/>
  <c r="C14" i="11"/>
  <c r="D14" i="11"/>
  <c r="E14" i="11"/>
  <c r="A15" i="11"/>
  <c r="B15" i="11"/>
  <c r="C15" i="11"/>
  <c r="D15" i="11"/>
  <c r="E15" i="11"/>
  <c r="A16" i="11"/>
  <c r="B16" i="11"/>
  <c r="C16" i="11"/>
  <c r="D16" i="11"/>
  <c r="E16" i="11"/>
  <c r="A17" i="11"/>
  <c r="B17" i="11"/>
  <c r="C17" i="11"/>
  <c r="D17" i="11"/>
  <c r="E17" i="11"/>
  <c r="A21" i="11"/>
  <c r="B21" i="11"/>
  <c r="C21" i="11"/>
  <c r="D21" i="11"/>
  <c r="E21" i="11"/>
  <c r="A22" i="11"/>
  <c r="B22" i="11"/>
  <c r="C22" i="11"/>
  <c r="D22" i="11"/>
  <c r="E22" i="11"/>
  <c r="A23" i="11"/>
  <c r="B23" i="11"/>
  <c r="C23" i="11"/>
  <c r="D23" i="11"/>
  <c r="E23" i="11"/>
  <c r="A24" i="11"/>
  <c r="B24" i="11"/>
  <c r="C24" i="11"/>
  <c r="D24" i="11"/>
  <c r="E24" i="11"/>
  <c r="A25" i="11"/>
  <c r="B25" i="11"/>
  <c r="C25" i="11"/>
  <c r="D25" i="11"/>
  <c r="E25" i="11"/>
  <c r="A26" i="11"/>
  <c r="B26" i="11"/>
  <c r="C26" i="11"/>
  <c r="D26" i="11"/>
  <c r="E26" i="11"/>
  <c r="A29" i="11"/>
  <c r="B29" i="11"/>
  <c r="C29" i="11"/>
  <c r="D29" i="11"/>
  <c r="E29" i="11"/>
  <c r="A30" i="11"/>
  <c r="B30" i="11"/>
  <c r="C30" i="11"/>
  <c r="D30" i="11"/>
  <c r="E30" i="11"/>
  <c r="A31" i="11"/>
  <c r="B31" i="11"/>
  <c r="C31" i="11"/>
  <c r="D31" i="11"/>
  <c r="E31" i="11"/>
  <c r="A32" i="11"/>
  <c r="B32" i="11"/>
  <c r="C32" i="11"/>
  <c r="D32" i="11"/>
  <c r="E32" i="11"/>
  <c r="A33" i="11"/>
  <c r="B33" i="11"/>
  <c r="C33" i="11"/>
  <c r="D33" i="11"/>
  <c r="E33" i="11"/>
  <c r="A34" i="11"/>
  <c r="B34" i="11"/>
  <c r="C34" i="11"/>
  <c r="D34" i="11"/>
  <c r="E34" i="11"/>
  <c r="A38" i="11"/>
  <c r="B38" i="11"/>
  <c r="C38" i="11"/>
  <c r="D38" i="11"/>
  <c r="E38" i="11"/>
  <c r="A39" i="11"/>
  <c r="B39" i="11"/>
  <c r="C39" i="11"/>
  <c r="D39" i="11"/>
  <c r="E39" i="11"/>
  <c r="A40" i="11"/>
  <c r="B40" i="11"/>
  <c r="C40" i="11"/>
  <c r="D40" i="11"/>
  <c r="E40" i="11"/>
  <c r="A41" i="11"/>
  <c r="B41" i="11"/>
  <c r="C41" i="11"/>
  <c r="D41" i="11"/>
  <c r="E41" i="11"/>
  <c r="A42" i="11"/>
  <c r="B42" i="11"/>
  <c r="C42" i="11"/>
  <c r="D42" i="11"/>
  <c r="E42" i="11"/>
  <c r="A43" i="11"/>
  <c r="B43" i="11"/>
  <c r="C43" i="11"/>
  <c r="D43" i="11"/>
  <c r="E43" i="11"/>
  <c r="A46" i="11"/>
  <c r="B46" i="11"/>
  <c r="C46" i="11"/>
  <c r="D46" i="11"/>
  <c r="E46" i="11"/>
  <c r="A47" i="11"/>
  <c r="B47" i="11"/>
  <c r="C47" i="11"/>
  <c r="D47" i="11"/>
  <c r="E47" i="11"/>
  <c r="A48" i="11"/>
  <c r="B48" i="11"/>
  <c r="C48" i="11"/>
  <c r="D48" i="11"/>
  <c r="E48" i="11"/>
  <c r="A49" i="11"/>
  <c r="B49" i="11"/>
  <c r="C49" i="11"/>
  <c r="D49" i="11"/>
  <c r="E49" i="11"/>
  <c r="A50" i="11"/>
  <c r="B50" i="11"/>
  <c r="C50" i="11"/>
  <c r="D50" i="11"/>
  <c r="E50" i="11"/>
  <c r="A51" i="11"/>
  <c r="B51" i="11"/>
  <c r="C51" i="11"/>
  <c r="D51" i="11"/>
  <c r="E51" i="11"/>
  <c r="A55" i="11"/>
  <c r="B55" i="11"/>
  <c r="C55" i="11"/>
  <c r="D55" i="11"/>
  <c r="E55" i="11"/>
  <c r="A56" i="11"/>
  <c r="B56" i="11"/>
  <c r="C56" i="11"/>
  <c r="D56" i="11"/>
  <c r="E56" i="11"/>
  <c r="A57" i="11"/>
  <c r="B57" i="11"/>
  <c r="C57" i="11"/>
  <c r="D57" i="11"/>
  <c r="E57" i="11"/>
  <c r="A58" i="11"/>
  <c r="B58" i="11"/>
  <c r="C58" i="11"/>
  <c r="D58" i="11"/>
  <c r="E58" i="11"/>
  <c r="A59" i="11"/>
  <c r="B59" i="11"/>
  <c r="C59" i="11"/>
  <c r="D59" i="11"/>
  <c r="E59" i="11"/>
  <c r="A60" i="11"/>
  <c r="B60" i="11"/>
  <c r="C60" i="11"/>
  <c r="D60" i="11"/>
  <c r="E60" i="11"/>
  <c r="A63" i="11"/>
  <c r="B63" i="11"/>
  <c r="C63" i="11"/>
  <c r="D63" i="11"/>
  <c r="E63" i="11"/>
  <c r="A64" i="11"/>
  <c r="B64" i="11"/>
  <c r="C64" i="11"/>
  <c r="D64" i="11"/>
  <c r="E64" i="11"/>
  <c r="A65" i="11"/>
  <c r="B65" i="11"/>
  <c r="C65" i="11"/>
  <c r="D65" i="11"/>
  <c r="E65" i="11"/>
  <c r="A66" i="11"/>
  <c r="B66" i="11"/>
  <c r="C66" i="11"/>
  <c r="D66" i="11"/>
  <c r="E66" i="11"/>
  <c r="A67" i="11"/>
  <c r="B67" i="11"/>
  <c r="C67" i="11"/>
  <c r="D67" i="11"/>
  <c r="E67" i="11"/>
  <c r="A68" i="11"/>
  <c r="B68" i="11"/>
  <c r="C68" i="11"/>
  <c r="D68" i="11"/>
  <c r="E68" i="11"/>
  <c r="C17" i="2" l="1"/>
  <c r="B17" i="2"/>
  <c r="B10" i="1"/>
  <c r="B7" i="1" l="1"/>
  <c r="A90" i="14" l="1"/>
  <c r="A89" i="14"/>
  <c r="A88" i="14"/>
  <c r="A87" i="14"/>
  <c r="A86" i="14"/>
  <c r="A85" i="14"/>
  <c r="A82" i="14"/>
  <c r="A81" i="14"/>
  <c r="A80" i="14"/>
  <c r="A79" i="14"/>
  <c r="A78" i="14"/>
  <c r="A77" i="14"/>
  <c r="B77" i="14"/>
  <c r="B78" i="14"/>
  <c r="B79" i="14"/>
  <c r="B80" i="14"/>
  <c r="B81" i="14"/>
  <c r="B82" i="14"/>
  <c r="B3" i="6"/>
  <c r="E31" i="6" s="1"/>
  <c r="E86" i="14"/>
  <c r="E87" i="14"/>
  <c r="E88" i="14"/>
  <c r="E89" i="14"/>
  <c r="E90" i="14"/>
  <c r="D86" i="14"/>
  <c r="D87" i="14"/>
  <c r="D88" i="14"/>
  <c r="D89" i="14"/>
  <c r="D90" i="14"/>
  <c r="C86" i="14"/>
  <c r="C87" i="14"/>
  <c r="C88" i="14"/>
  <c r="C89" i="14"/>
  <c r="C90" i="14"/>
  <c r="B86" i="14"/>
  <c r="B87" i="14"/>
  <c r="B88" i="14"/>
  <c r="B89" i="14"/>
  <c r="B90" i="14"/>
  <c r="C85" i="14"/>
  <c r="D85" i="14"/>
  <c r="E85" i="14"/>
  <c r="B85" i="14"/>
  <c r="E78" i="14"/>
  <c r="E79" i="14"/>
  <c r="E80" i="14"/>
  <c r="E81" i="14"/>
  <c r="E82" i="14"/>
  <c r="D78" i="14"/>
  <c r="D79" i="14"/>
  <c r="D80" i="14"/>
  <c r="D81" i="14"/>
  <c r="D82" i="14"/>
  <c r="C78" i="14"/>
  <c r="C79" i="14"/>
  <c r="C80" i="14"/>
  <c r="C81" i="14"/>
  <c r="C82" i="14"/>
  <c r="C77" i="14"/>
  <c r="D77" i="14"/>
  <c r="E77" i="14"/>
  <c r="A31" i="16"/>
  <c r="E30" i="16"/>
  <c r="E29" i="16"/>
  <c r="A24" i="16"/>
  <c r="E24" i="16" s="1"/>
  <c r="M24" i="16" s="1"/>
  <c r="A23" i="16"/>
  <c r="E23" i="16" s="1"/>
  <c r="M23" i="16" s="1"/>
  <c r="A22" i="16"/>
  <c r="D22" i="16" s="1"/>
  <c r="L22" i="16" s="1"/>
  <c r="A21" i="16"/>
  <c r="B21" i="16" s="1"/>
  <c r="J21" i="16" s="1"/>
  <c r="A20" i="16"/>
  <c r="E20" i="16" s="1"/>
  <c r="A19" i="16"/>
  <c r="E19" i="16" s="1"/>
  <c r="M19" i="16" s="1"/>
  <c r="A12" i="16"/>
  <c r="C12" i="16" s="1"/>
  <c r="K12" i="16" s="1"/>
  <c r="A11" i="16"/>
  <c r="E11" i="16" s="1"/>
  <c r="A10" i="16"/>
  <c r="C10" i="16" s="1"/>
  <c r="K10" i="16" s="1"/>
  <c r="A9" i="16"/>
  <c r="E9" i="16" s="1"/>
  <c r="A8" i="16"/>
  <c r="E8" i="16" s="1"/>
  <c r="A7" i="16"/>
  <c r="C7" i="16" s="1"/>
  <c r="A1" i="16"/>
  <c r="B20" i="1" a="1"/>
  <c r="B20" i="1" s="1"/>
  <c r="E51" i="14"/>
  <c r="D51" i="14"/>
  <c r="C51" i="14"/>
  <c r="B51" i="14"/>
  <c r="E50" i="14"/>
  <c r="D50" i="14"/>
  <c r="C50" i="14"/>
  <c r="B50" i="14"/>
  <c r="E49" i="14"/>
  <c r="D49" i="14"/>
  <c r="C49" i="14"/>
  <c r="B49" i="14"/>
  <c r="E48" i="14"/>
  <c r="D48" i="14"/>
  <c r="C48" i="14"/>
  <c r="B48" i="14"/>
  <c r="E47" i="14"/>
  <c r="D47" i="14"/>
  <c r="C47" i="14"/>
  <c r="B47" i="14"/>
  <c r="E46" i="14"/>
  <c r="D46" i="14"/>
  <c r="C46" i="14"/>
  <c r="B46" i="14"/>
  <c r="E73" i="14"/>
  <c r="D73" i="14"/>
  <c r="C73" i="14"/>
  <c r="B73" i="14"/>
  <c r="E72" i="14"/>
  <c r="D72" i="14"/>
  <c r="C72" i="14"/>
  <c r="B72" i="14"/>
  <c r="E71" i="14"/>
  <c r="D71" i="14"/>
  <c r="C71" i="14"/>
  <c r="B71" i="14"/>
  <c r="E70" i="14"/>
  <c r="D70" i="14"/>
  <c r="C70" i="14"/>
  <c r="B70" i="14"/>
  <c r="E69" i="14"/>
  <c r="D69" i="14"/>
  <c r="C69" i="14"/>
  <c r="B69" i="14"/>
  <c r="E68" i="14"/>
  <c r="D68" i="14"/>
  <c r="C68" i="14"/>
  <c r="E62" i="14"/>
  <c r="D62" i="14"/>
  <c r="C62" i="14"/>
  <c r="B62" i="14"/>
  <c r="E61" i="14"/>
  <c r="D61" i="14"/>
  <c r="C61" i="14"/>
  <c r="B61" i="14"/>
  <c r="E60" i="14"/>
  <c r="D60" i="14"/>
  <c r="C60" i="14"/>
  <c r="B60" i="14"/>
  <c r="E59" i="14"/>
  <c r="D59" i="14"/>
  <c r="C59" i="14"/>
  <c r="B59" i="14"/>
  <c r="E58" i="14"/>
  <c r="D58" i="14"/>
  <c r="C58" i="14"/>
  <c r="B58" i="14"/>
  <c r="E57" i="14"/>
  <c r="D57" i="14"/>
  <c r="C57" i="14"/>
  <c r="E43" i="14"/>
  <c r="D43" i="14"/>
  <c r="C43" i="14"/>
  <c r="B43" i="14"/>
  <c r="E42" i="14"/>
  <c r="D42" i="14"/>
  <c r="C42" i="14"/>
  <c r="B42" i="14"/>
  <c r="E41" i="14"/>
  <c r="D41" i="14"/>
  <c r="C41" i="14"/>
  <c r="B41" i="14"/>
  <c r="E40" i="14"/>
  <c r="D40" i="14"/>
  <c r="C40" i="14"/>
  <c r="B40" i="14"/>
  <c r="E39" i="14"/>
  <c r="D39" i="14"/>
  <c r="C39" i="14"/>
  <c r="B39" i="14"/>
  <c r="E38" i="14"/>
  <c r="D38" i="14"/>
  <c r="C38" i="14"/>
  <c r="E34" i="14"/>
  <c r="D34" i="14"/>
  <c r="C34" i="14"/>
  <c r="B34" i="14"/>
  <c r="E33" i="14"/>
  <c r="D33" i="14"/>
  <c r="C33" i="14"/>
  <c r="B33" i="14"/>
  <c r="E32" i="14"/>
  <c r="D32" i="14"/>
  <c r="C32" i="14"/>
  <c r="B32" i="14"/>
  <c r="E31" i="14"/>
  <c r="D31" i="14"/>
  <c r="C31" i="14"/>
  <c r="B31" i="14"/>
  <c r="E30" i="14"/>
  <c r="D30" i="14"/>
  <c r="C30" i="14"/>
  <c r="B30" i="14"/>
  <c r="E29" i="14"/>
  <c r="D29" i="14"/>
  <c r="C29" i="14"/>
  <c r="E26" i="14"/>
  <c r="D26" i="14"/>
  <c r="C26" i="14"/>
  <c r="B26" i="14"/>
  <c r="E25" i="14"/>
  <c r="D25" i="14"/>
  <c r="C25" i="14"/>
  <c r="B25" i="14"/>
  <c r="E24" i="14"/>
  <c r="D24" i="14"/>
  <c r="C24" i="14"/>
  <c r="B24" i="14"/>
  <c r="E23" i="14"/>
  <c r="D23" i="14"/>
  <c r="C23" i="14"/>
  <c r="B23" i="14"/>
  <c r="E22" i="14"/>
  <c r="D22" i="14"/>
  <c r="C22" i="14"/>
  <c r="B22" i="14"/>
  <c r="E21" i="14"/>
  <c r="D21" i="14"/>
  <c r="C21" i="14"/>
  <c r="E17" i="14"/>
  <c r="D17" i="14"/>
  <c r="C17" i="14"/>
  <c r="B17" i="14"/>
  <c r="E16" i="14"/>
  <c r="D16" i="14"/>
  <c r="C16" i="14"/>
  <c r="B16" i="14"/>
  <c r="E15" i="14"/>
  <c r="D15" i="14"/>
  <c r="C15" i="14"/>
  <c r="B15" i="14"/>
  <c r="E14" i="14"/>
  <c r="D14" i="14"/>
  <c r="C14" i="14"/>
  <c r="B14" i="14"/>
  <c r="E13" i="14"/>
  <c r="D13" i="14"/>
  <c r="C13" i="14"/>
  <c r="B13" i="14"/>
  <c r="E12" i="14"/>
  <c r="D12" i="14"/>
  <c r="C12" i="14"/>
  <c r="E9" i="14"/>
  <c r="D9" i="14"/>
  <c r="C9" i="14"/>
  <c r="B9" i="14"/>
  <c r="E8" i="14"/>
  <c r="D8" i="14"/>
  <c r="C8" i="14"/>
  <c r="B8" i="14"/>
  <c r="E7" i="14"/>
  <c r="D7" i="14"/>
  <c r="C7" i="14"/>
  <c r="B7" i="14"/>
  <c r="E6" i="14"/>
  <c r="D6" i="14"/>
  <c r="C6" i="14"/>
  <c r="B6" i="14"/>
  <c r="E5" i="14"/>
  <c r="D5" i="14"/>
  <c r="C5" i="14"/>
  <c r="B5" i="14"/>
  <c r="E4" i="14"/>
  <c r="D4" i="14"/>
  <c r="C4" i="14"/>
  <c r="B68" i="14"/>
  <c r="B57" i="14"/>
  <c r="B38" i="14"/>
  <c r="B29" i="14"/>
  <c r="B21" i="14"/>
  <c r="B12" i="14"/>
  <c r="B4" i="14"/>
  <c r="A73" i="14"/>
  <c r="A72" i="14"/>
  <c r="A71" i="14"/>
  <c r="A70" i="14"/>
  <c r="A69" i="14"/>
  <c r="A68" i="14"/>
  <c r="A62" i="14"/>
  <c r="A61" i="14"/>
  <c r="A60" i="14"/>
  <c r="A59" i="14"/>
  <c r="A58" i="14"/>
  <c r="A57" i="14"/>
  <c r="A51" i="14"/>
  <c r="A50" i="14"/>
  <c r="A49" i="14"/>
  <c r="A48" i="14"/>
  <c r="A47" i="14"/>
  <c r="A46" i="14"/>
  <c r="A43" i="14"/>
  <c r="A42" i="14"/>
  <c r="A41" i="14"/>
  <c r="A40" i="14"/>
  <c r="A39" i="14"/>
  <c r="A38" i="14"/>
  <c r="A34" i="14"/>
  <c r="A33" i="14"/>
  <c r="A32" i="14"/>
  <c r="A31" i="14"/>
  <c r="A30" i="14"/>
  <c r="A29" i="14"/>
  <c r="A26" i="14"/>
  <c r="A25" i="14"/>
  <c r="A24" i="14"/>
  <c r="A23" i="14"/>
  <c r="A22" i="14"/>
  <c r="A21" i="14"/>
  <c r="A17" i="14"/>
  <c r="A16" i="14"/>
  <c r="A15" i="14"/>
  <c r="A14" i="14"/>
  <c r="A13" i="14"/>
  <c r="A12" i="14"/>
  <c r="A9" i="14"/>
  <c r="A8" i="14"/>
  <c r="A7" i="14"/>
  <c r="A6" i="14"/>
  <c r="A5" i="14"/>
  <c r="A4" i="14"/>
  <c r="E29" i="4"/>
  <c r="E29" i="5"/>
  <c r="E29" i="6"/>
  <c r="E29" i="7"/>
  <c r="E29" i="8"/>
  <c r="E29" i="9"/>
  <c r="E29" i="10"/>
  <c r="E29" i="3"/>
  <c r="E30" i="4"/>
  <c r="E30" i="5"/>
  <c r="E30" i="6"/>
  <c r="E30" i="7"/>
  <c r="E30" i="8"/>
  <c r="E30" i="9"/>
  <c r="E30" i="10"/>
  <c r="E30" i="3"/>
  <c r="E39" i="2" a="1"/>
  <c r="E39" i="2" s="1"/>
  <c r="D39" i="2" a="1"/>
  <c r="D39" i="2" s="1"/>
  <c r="C39" i="2" a="1"/>
  <c r="C39" i="2"/>
  <c r="B39" i="2" a="1"/>
  <c r="B39" i="2" s="1"/>
  <c r="E38" i="2" a="1"/>
  <c r="E38" i="2" s="1"/>
  <c r="D38" i="2" a="1"/>
  <c r="D38" i="2" s="1"/>
  <c r="C38" i="2" a="1"/>
  <c r="C38" i="2" s="1"/>
  <c r="B38" i="2" a="1"/>
  <c r="B38" i="2" s="1"/>
  <c r="E37" i="2" a="1"/>
  <c r="E37" i="2" s="1"/>
  <c r="D37" i="2" a="1"/>
  <c r="D37" i="2" s="1"/>
  <c r="C37" i="2" a="1"/>
  <c r="C37" i="2" s="1"/>
  <c r="B37" i="2" a="1"/>
  <c r="B37" i="2" s="1"/>
  <c r="E36" i="2" a="1"/>
  <c r="E36" i="2" s="1"/>
  <c r="D36" i="2" a="1"/>
  <c r="D36" i="2" s="1"/>
  <c r="C36" i="2" a="1"/>
  <c r="C36" i="2"/>
  <c r="B36" i="2" a="1"/>
  <c r="B36" i="2" s="1"/>
  <c r="A31" i="10"/>
  <c r="A24" i="10"/>
  <c r="B24" i="10" s="1"/>
  <c r="J24" i="10" s="1"/>
  <c r="A23" i="10"/>
  <c r="C23" i="10" s="1"/>
  <c r="K23" i="10" s="1"/>
  <c r="A22" i="10"/>
  <c r="B22" i="10" s="1"/>
  <c r="J22" i="10" s="1"/>
  <c r="A21" i="10"/>
  <c r="D21" i="10" s="1"/>
  <c r="L21" i="10" s="1"/>
  <c r="A20" i="10"/>
  <c r="B20" i="10" s="1"/>
  <c r="J20" i="10" s="1"/>
  <c r="A19" i="10"/>
  <c r="E19" i="10" s="1"/>
  <c r="M19" i="10" s="1"/>
  <c r="A12" i="10"/>
  <c r="D12" i="10" s="1"/>
  <c r="L12" i="10" s="1"/>
  <c r="A11" i="10"/>
  <c r="A10" i="10"/>
  <c r="B10" i="10" s="1"/>
  <c r="J10" i="10" s="1"/>
  <c r="A9" i="10"/>
  <c r="E9" i="10" s="1"/>
  <c r="A8" i="10"/>
  <c r="E8" i="10" s="1"/>
  <c r="A7" i="10"/>
  <c r="E7" i="10" s="1"/>
  <c r="A1" i="10"/>
  <c r="A31" i="9"/>
  <c r="A24" i="9"/>
  <c r="B24" i="9" s="1"/>
  <c r="J24" i="9" s="1"/>
  <c r="A23" i="9"/>
  <c r="E23" i="9" s="1"/>
  <c r="M23" i="9" s="1"/>
  <c r="A22" i="9"/>
  <c r="C22" i="9" s="1"/>
  <c r="K22" i="9" s="1"/>
  <c r="A21" i="9"/>
  <c r="C21" i="9" s="1"/>
  <c r="K21" i="9" s="1"/>
  <c r="A20" i="9"/>
  <c r="B20" i="9" s="1"/>
  <c r="J20" i="9" s="1"/>
  <c r="A19" i="9"/>
  <c r="B19" i="9" s="1"/>
  <c r="J19" i="9" s="1"/>
  <c r="A12" i="9"/>
  <c r="E12" i="9" s="1"/>
  <c r="A11" i="9"/>
  <c r="B11" i="9" s="1"/>
  <c r="J11" i="9" s="1"/>
  <c r="A10" i="9"/>
  <c r="B10" i="9" s="1"/>
  <c r="J10" i="9" s="1"/>
  <c r="A9" i="9"/>
  <c r="B9" i="9" s="1"/>
  <c r="J9" i="9" s="1"/>
  <c r="A8" i="9"/>
  <c r="B8" i="9" s="1"/>
  <c r="J8" i="9" s="1"/>
  <c r="A7" i="9"/>
  <c r="D7" i="9" s="1"/>
  <c r="L7" i="9" s="1"/>
  <c r="A1" i="9"/>
  <c r="A31" i="8"/>
  <c r="A24" i="8"/>
  <c r="B24" i="8" s="1"/>
  <c r="J24" i="8" s="1"/>
  <c r="A23" i="8"/>
  <c r="D23" i="8" s="1"/>
  <c r="L23" i="8" s="1"/>
  <c r="A22" i="8"/>
  <c r="E22" i="8" s="1"/>
  <c r="M22" i="8" s="1"/>
  <c r="A21" i="8"/>
  <c r="D21" i="8" s="1"/>
  <c r="L21" i="8" s="1"/>
  <c r="A20" i="8"/>
  <c r="C20" i="8" s="1"/>
  <c r="K20" i="8" s="1"/>
  <c r="A19" i="8"/>
  <c r="C19" i="8" s="1"/>
  <c r="K19" i="8" s="1"/>
  <c r="A12" i="8"/>
  <c r="C12" i="8" s="1"/>
  <c r="K12" i="8" s="1"/>
  <c r="A11" i="8"/>
  <c r="D11" i="8" s="1"/>
  <c r="L11" i="8" s="1"/>
  <c r="A10" i="8"/>
  <c r="C10" i="8" s="1"/>
  <c r="K10" i="8" s="1"/>
  <c r="A9" i="8"/>
  <c r="B9" i="8" s="1"/>
  <c r="J9" i="8" s="1"/>
  <c r="A8" i="8"/>
  <c r="A7" i="8"/>
  <c r="B7" i="8" s="1"/>
  <c r="J7" i="8" s="1"/>
  <c r="A1" i="8"/>
  <c r="A24" i="7"/>
  <c r="E24" i="7" s="1"/>
  <c r="M24" i="7" s="1"/>
  <c r="A23" i="7"/>
  <c r="C23" i="7" s="1"/>
  <c r="K23" i="7" s="1"/>
  <c r="A22" i="7"/>
  <c r="E22" i="7" s="1"/>
  <c r="M22" i="7" s="1"/>
  <c r="A21" i="7"/>
  <c r="D21" i="7" s="1"/>
  <c r="L21" i="7" s="1"/>
  <c r="A20" i="7"/>
  <c r="C20" i="7" s="1"/>
  <c r="K20" i="7" s="1"/>
  <c r="A19" i="7"/>
  <c r="E19" i="7" s="1"/>
  <c r="M19" i="7" s="1"/>
  <c r="A12" i="7"/>
  <c r="B12" i="7" s="1"/>
  <c r="J12" i="7" s="1"/>
  <c r="A11" i="7"/>
  <c r="E11" i="7" s="1"/>
  <c r="A10" i="7"/>
  <c r="C10" i="7" s="1"/>
  <c r="K10" i="7" s="1"/>
  <c r="A9" i="7"/>
  <c r="D9" i="7" s="1"/>
  <c r="L9" i="7" s="1"/>
  <c r="A8" i="7"/>
  <c r="D8" i="7" s="1"/>
  <c r="L8" i="7" s="1"/>
  <c r="A7" i="7"/>
  <c r="E7" i="7" s="1"/>
  <c r="A31" i="7"/>
  <c r="A1" i="7"/>
  <c r="A31" i="6"/>
  <c r="A24" i="6"/>
  <c r="B24" i="6" s="1"/>
  <c r="J24" i="6" s="1"/>
  <c r="A23" i="6"/>
  <c r="C23" i="6" s="1"/>
  <c r="K23" i="6" s="1"/>
  <c r="A22" i="6"/>
  <c r="B22" i="6" s="1"/>
  <c r="J22" i="6" s="1"/>
  <c r="A21" i="6"/>
  <c r="E21" i="6" s="1"/>
  <c r="M21" i="6" s="1"/>
  <c r="A20" i="6"/>
  <c r="B20" i="6" s="1"/>
  <c r="A19" i="6"/>
  <c r="C19" i="6" s="1"/>
  <c r="K19" i="6" s="1"/>
  <c r="A12" i="6"/>
  <c r="B12" i="6" s="1"/>
  <c r="J12" i="6" s="1"/>
  <c r="A11" i="6"/>
  <c r="B11" i="6" s="1"/>
  <c r="J11" i="6" s="1"/>
  <c r="A10" i="6"/>
  <c r="C10" i="6" s="1"/>
  <c r="K10" i="6" s="1"/>
  <c r="A9" i="6"/>
  <c r="D9" i="6" s="1"/>
  <c r="L9" i="6" s="1"/>
  <c r="A8" i="6"/>
  <c r="E8" i="6" s="1"/>
  <c r="A7" i="6"/>
  <c r="B7" i="6" s="1"/>
  <c r="J7" i="6" s="1"/>
  <c r="A1" i="6"/>
  <c r="A31" i="5"/>
  <c r="A24" i="5"/>
  <c r="B24" i="5" s="1"/>
  <c r="J24" i="5" s="1"/>
  <c r="A23" i="5"/>
  <c r="C23" i="5" s="1"/>
  <c r="K23" i="5" s="1"/>
  <c r="A22" i="5"/>
  <c r="D22" i="5" s="1"/>
  <c r="L22" i="5" s="1"/>
  <c r="A21" i="5"/>
  <c r="E21" i="5" s="1"/>
  <c r="M21" i="5" s="1"/>
  <c r="A20" i="5"/>
  <c r="B20" i="5" s="1"/>
  <c r="J20" i="5" s="1"/>
  <c r="A19" i="5"/>
  <c r="B19" i="5" s="1"/>
  <c r="J19" i="5" s="1"/>
  <c r="A12" i="5"/>
  <c r="E12" i="5" s="1"/>
  <c r="A11" i="5"/>
  <c r="C11" i="5" s="1"/>
  <c r="K11" i="5" s="1"/>
  <c r="A10" i="5"/>
  <c r="E10" i="5" s="1"/>
  <c r="A9" i="5"/>
  <c r="D9" i="5" s="1"/>
  <c r="L9" i="5" s="1"/>
  <c r="A8" i="5"/>
  <c r="E8" i="5" s="1"/>
  <c r="A7" i="5"/>
  <c r="B7" i="5" s="1"/>
  <c r="J7" i="5" s="1"/>
  <c r="A1" i="5"/>
  <c r="A31" i="4"/>
  <c r="A24" i="4"/>
  <c r="B24" i="4" s="1"/>
  <c r="J24" i="4" s="1"/>
  <c r="A23" i="4"/>
  <c r="D23" i="4" s="1"/>
  <c r="L23" i="4" s="1"/>
  <c r="A22" i="4"/>
  <c r="D22" i="4" s="1"/>
  <c r="L22" i="4" s="1"/>
  <c r="A21" i="4"/>
  <c r="C21" i="4" s="1"/>
  <c r="K21" i="4" s="1"/>
  <c r="A20" i="4"/>
  <c r="E20" i="4" s="1"/>
  <c r="A19" i="4"/>
  <c r="C19" i="4" s="1"/>
  <c r="K19" i="4" s="1"/>
  <c r="A12" i="4"/>
  <c r="C12" i="4" s="1"/>
  <c r="K12" i="4" s="1"/>
  <c r="A11" i="4"/>
  <c r="E11" i="4" s="1"/>
  <c r="A10" i="4"/>
  <c r="B10" i="4" s="1"/>
  <c r="J10" i="4" s="1"/>
  <c r="A9" i="4"/>
  <c r="D9" i="4" s="1"/>
  <c r="L9" i="4" s="1"/>
  <c r="A8" i="4"/>
  <c r="C8" i="4" s="1"/>
  <c r="K8" i="4" s="1"/>
  <c r="A7" i="4"/>
  <c r="B7" i="4" s="1"/>
  <c r="J7" i="4" s="1"/>
  <c r="A1" i="4"/>
  <c r="A24" i="3"/>
  <c r="C24" i="3" s="1"/>
  <c r="K24" i="3" s="1"/>
  <c r="A23" i="3"/>
  <c r="E23" i="3" s="1"/>
  <c r="M23" i="3" s="1"/>
  <c r="A22" i="3"/>
  <c r="D22" i="3" s="1"/>
  <c r="L22" i="3" s="1"/>
  <c r="A21" i="3"/>
  <c r="E21" i="3" s="1"/>
  <c r="M21" i="3" s="1"/>
  <c r="A20" i="3"/>
  <c r="E20" i="3" s="1"/>
  <c r="M20" i="3" s="1"/>
  <c r="A19" i="3"/>
  <c r="E19" i="3" s="1"/>
  <c r="M19" i="3" s="1"/>
  <c r="A12" i="3"/>
  <c r="E12" i="3" s="1"/>
  <c r="A11" i="3"/>
  <c r="C11" i="3" s="1"/>
  <c r="K11" i="3" s="1"/>
  <c r="A10" i="3"/>
  <c r="E10" i="3" s="1"/>
  <c r="A9" i="3"/>
  <c r="E9" i="3" s="1"/>
  <c r="A8" i="3"/>
  <c r="E8" i="3" s="1"/>
  <c r="A7" i="3"/>
  <c r="B7" i="3" s="1"/>
  <c r="J7" i="3" s="1"/>
  <c r="A1" i="3"/>
  <c r="A31" i="3"/>
  <c r="B12" i="1"/>
  <c r="B3" i="8" s="1"/>
  <c r="E31" i="8" s="1"/>
  <c r="B13" i="1"/>
  <c r="B3" i="9" s="1"/>
  <c r="E31" i="9" s="1"/>
  <c r="B14" i="1"/>
  <c r="B3" i="16" s="1"/>
  <c r="E31" i="16" s="1"/>
  <c r="B11" i="1"/>
  <c r="B3" i="7" s="1"/>
  <c r="E31" i="7" s="1"/>
  <c r="B8" i="1"/>
  <c r="B3" i="4" s="1"/>
  <c r="E31" i="4" s="1"/>
  <c r="B9" i="1"/>
  <c r="B3" i="5" s="1"/>
  <c r="E31" i="5" s="1"/>
  <c r="B3" i="3"/>
  <c r="E31" i="3" s="1"/>
  <c r="A3" i="1"/>
  <c r="A1" i="2"/>
  <c r="E33" i="2"/>
  <c r="D33" i="2"/>
  <c r="C33" i="2"/>
  <c r="B33" i="2"/>
  <c r="F32" i="2"/>
  <c r="F31" i="2"/>
  <c r="F30" i="2"/>
  <c r="F29" i="2"/>
  <c r="F28" i="2"/>
  <c r="F27" i="2"/>
  <c r="F26" i="2"/>
  <c r="F25" i="2"/>
  <c r="F24" i="2"/>
  <c r="F23" i="2"/>
  <c r="F22" i="2"/>
  <c r="F21" i="2"/>
  <c r="E17" i="2"/>
  <c r="D17" i="2"/>
  <c r="F16" i="2"/>
  <c r="F15" i="2"/>
  <c r="F14" i="2"/>
  <c r="F13" i="2"/>
  <c r="F12" i="2"/>
  <c r="F11" i="2"/>
  <c r="F10" i="2"/>
  <c r="F9" i="2"/>
  <c r="F8" i="2"/>
  <c r="F7" i="2"/>
  <c r="F6" i="2"/>
  <c r="D11" i="9" l="1"/>
  <c r="L11" i="9" s="1"/>
  <c r="C12" i="9"/>
  <c r="K12" i="9" s="1"/>
  <c r="E22" i="10"/>
  <c r="M22" i="10" s="1"/>
  <c r="C19" i="16"/>
  <c r="B24" i="16"/>
  <c r="J24" i="16" s="1"/>
  <c r="F33" i="2"/>
  <c r="F17" i="2"/>
  <c r="D20" i="10"/>
  <c r="L20" i="10" s="1"/>
  <c r="D12" i="9"/>
  <c r="L12" i="9" s="1"/>
  <c r="B12" i="9"/>
  <c r="J12" i="9" s="1"/>
  <c r="C8" i="7"/>
  <c r="K8" i="7" s="1"/>
  <c r="B8" i="7"/>
  <c r="J8" i="7" s="1"/>
  <c r="N8" i="7" s="1"/>
  <c r="C21" i="7"/>
  <c r="K21" i="7" s="1"/>
  <c r="D7" i="10"/>
  <c r="L7" i="10" s="1"/>
  <c r="E20" i="10"/>
  <c r="M20" i="10" s="1"/>
  <c r="B21" i="7"/>
  <c r="J21" i="7" s="1"/>
  <c r="C20" i="10"/>
  <c r="K20" i="10" s="1"/>
  <c r="B10" i="6"/>
  <c r="J10" i="6" s="1"/>
  <c r="D24" i="10"/>
  <c r="L24" i="10" s="1"/>
  <c r="C24" i="10"/>
  <c r="K24" i="10" s="1"/>
  <c r="B22" i="9"/>
  <c r="J22" i="9" s="1"/>
  <c r="E24" i="10"/>
  <c r="M24" i="10" s="1"/>
  <c r="B23" i="9"/>
  <c r="J23" i="9" s="1"/>
  <c r="E24" i="9"/>
  <c r="M24" i="9" s="1"/>
  <c r="C24" i="9"/>
  <c r="K24" i="9" s="1"/>
  <c r="D24" i="9"/>
  <c r="L24" i="9" s="1"/>
  <c r="C12" i="10"/>
  <c r="K12" i="10" s="1"/>
  <c r="D9" i="8"/>
  <c r="L9" i="8" s="1"/>
  <c r="B9" i="10"/>
  <c r="J9" i="10" s="1"/>
  <c r="C21" i="8"/>
  <c r="K21" i="8" s="1"/>
  <c r="D22" i="10"/>
  <c r="L22" i="10" s="1"/>
  <c r="E23" i="8"/>
  <c r="M23" i="8" s="1"/>
  <c r="D8" i="16"/>
  <c r="L8" i="16" s="1"/>
  <c r="E9" i="8"/>
  <c r="C9" i="8"/>
  <c r="K9" i="8" s="1"/>
  <c r="B19" i="10"/>
  <c r="J19" i="10" s="1"/>
  <c r="F37" i="2"/>
  <c r="F39" i="2"/>
  <c r="E9" i="7"/>
  <c r="C9" i="7"/>
  <c r="K9" i="7" s="1"/>
  <c r="D20" i="8"/>
  <c r="L20" i="8" s="1"/>
  <c r="B9" i="7"/>
  <c r="J9" i="7" s="1"/>
  <c r="D20" i="9"/>
  <c r="L20" i="9" s="1"/>
  <c r="D23" i="7"/>
  <c r="L23" i="7" s="1"/>
  <c r="E19" i="8"/>
  <c r="M19" i="8" s="1"/>
  <c r="D19" i="9"/>
  <c r="L19" i="9" s="1"/>
  <c r="D11" i="7"/>
  <c r="L11" i="7" s="1"/>
  <c r="B23" i="7"/>
  <c r="J23" i="7" s="1"/>
  <c r="E24" i="6"/>
  <c r="M24" i="6" s="1"/>
  <c r="C8" i="6"/>
  <c r="K8" i="6" s="1"/>
  <c r="B8" i="10"/>
  <c r="J8" i="10" s="1"/>
  <c r="E21" i="7"/>
  <c r="M21" i="7" s="1"/>
  <c r="D9" i="9"/>
  <c r="L9" i="9" s="1"/>
  <c r="D8" i="9"/>
  <c r="L8" i="9" s="1"/>
  <c r="E7" i="9"/>
  <c r="C20" i="9"/>
  <c r="K20" i="9" s="1"/>
  <c r="E20" i="9"/>
  <c r="M20" i="9" s="1"/>
  <c r="B10" i="8"/>
  <c r="J10" i="8" s="1"/>
  <c r="D23" i="10"/>
  <c r="L23" i="10" s="1"/>
  <c r="B21" i="8"/>
  <c r="J21" i="8" s="1"/>
  <c r="D12" i="16"/>
  <c r="L12" i="16" s="1"/>
  <c r="B22" i="7"/>
  <c r="J22" i="7" s="1"/>
  <c r="E10" i="10"/>
  <c r="B24" i="7"/>
  <c r="J24" i="7" s="1"/>
  <c r="D10" i="10"/>
  <c r="L10" i="10" s="1"/>
  <c r="D10" i="8"/>
  <c r="L10" i="8" s="1"/>
  <c r="C19" i="9"/>
  <c r="K19" i="9" s="1"/>
  <c r="D21" i="16"/>
  <c r="L21" i="16" s="1"/>
  <c r="D10" i="7"/>
  <c r="L10" i="7" s="1"/>
  <c r="E10" i="8"/>
  <c r="D23" i="9"/>
  <c r="L23" i="9" s="1"/>
  <c r="E21" i="8"/>
  <c r="M21" i="8" s="1"/>
  <c r="C22" i="7"/>
  <c r="K22" i="7" s="1"/>
  <c r="E19" i="9"/>
  <c r="M19" i="9" s="1"/>
  <c r="C12" i="7"/>
  <c r="K12" i="7" s="1"/>
  <c r="E12" i="8"/>
  <c r="C23" i="9"/>
  <c r="K23" i="9" s="1"/>
  <c r="B19" i="16"/>
  <c r="J19" i="16" s="1"/>
  <c r="D40" i="2"/>
  <c r="F36" i="2"/>
  <c r="F38" i="2"/>
  <c r="E40" i="2"/>
  <c r="D19" i="4"/>
  <c r="L19" i="4" s="1"/>
  <c r="E23" i="4"/>
  <c r="M23" i="4" s="1"/>
  <c r="C20" i="3"/>
  <c r="K20" i="3" s="1"/>
  <c r="B24" i="3"/>
  <c r="J24" i="3" s="1"/>
  <c r="E20" i="6"/>
  <c r="M20" i="6" s="1"/>
  <c r="B19" i="4"/>
  <c r="J19" i="4" s="1"/>
  <c r="B23" i="4"/>
  <c r="J23" i="4" s="1"/>
  <c r="C12" i="3"/>
  <c r="K12" i="3" s="1"/>
  <c r="E11" i="5"/>
  <c r="D24" i="5"/>
  <c r="L24" i="5" s="1"/>
  <c r="D21" i="4"/>
  <c r="L21" i="4" s="1"/>
  <c r="B8" i="6"/>
  <c r="J8" i="6" s="1"/>
  <c r="C24" i="5"/>
  <c r="K24" i="5" s="1"/>
  <c r="E24" i="5"/>
  <c r="M24" i="5" s="1"/>
  <c r="E7" i="4"/>
  <c r="C20" i="6"/>
  <c r="K20" i="6" s="1"/>
  <c r="E10" i="4"/>
  <c r="D20" i="6"/>
  <c r="L20" i="6" s="1"/>
  <c r="D24" i="4"/>
  <c r="L24" i="4" s="1"/>
  <c r="D12" i="5"/>
  <c r="L12" i="5" s="1"/>
  <c r="E20" i="5"/>
  <c r="M20" i="5" s="1"/>
  <c r="D11" i="3"/>
  <c r="L11" i="3" s="1"/>
  <c r="C11" i="4"/>
  <c r="K11" i="4" s="1"/>
  <c r="D8" i="6"/>
  <c r="L8" i="6" s="1"/>
  <c r="E21" i="4"/>
  <c r="M21" i="4" s="1"/>
  <c r="E19" i="5"/>
  <c r="M19" i="5" s="1"/>
  <c r="D11" i="4"/>
  <c r="L11" i="4" s="1"/>
  <c r="B22" i="3"/>
  <c r="J22" i="3" s="1"/>
  <c r="E19" i="4"/>
  <c r="M19" i="4" s="1"/>
  <c r="D19" i="5"/>
  <c r="L19" i="5" s="1"/>
  <c r="B20" i="3"/>
  <c r="J20" i="3" s="1"/>
  <c r="D24" i="6"/>
  <c r="L24" i="6" s="1"/>
  <c r="B21" i="4"/>
  <c r="J21" i="4" s="1"/>
  <c r="B11" i="4"/>
  <c r="J11" i="4" s="1"/>
  <c r="B8" i="3"/>
  <c r="J8" i="3" s="1"/>
  <c r="E9" i="4"/>
  <c r="C21" i="5"/>
  <c r="K21" i="5" s="1"/>
  <c r="E19" i="6"/>
  <c r="M19" i="6" s="1"/>
  <c r="D19" i="6"/>
  <c r="L19" i="6" s="1"/>
  <c r="D23" i="6"/>
  <c r="L23" i="6" s="1"/>
  <c r="D8" i="3"/>
  <c r="L8" i="3" s="1"/>
  <c r="B22" i="5"/>
  <c r="J22" i="5" s="1"/>
  <c r="C24" i="6"/>
  <c r="K24" i="6" s="1"/>
  <c r="B19" i="3"/>
  <c r="J19" i="3" s="1"/>
  <c r="E10" i="6"/>
  <c r="B19" i="6"/>
  <c r="J19" i="6" s="1"/>
  <c r="D20" i="3"/>
  <c r="L20" i="3" s="1"/>
  <c r="D11" i="5"/>
  <c r="L11" i="5" s="1"/>
  <c r="D10" i="6"/>
  <c r="L10" i="6" s="1"/>
  <c r="N10" i="6" s="1"/>
  <c r="D23" i="3"/>
  <c r="L23" i="3" s="1"/>
  <c r="B21" i="5"/>
  <c r="J21" i="5" s="1"/>
  <c r="B23" i="6"/>
  <c r="J23" i="6" s="1"/>
  <c r="E24" i="3"/>
  <c r="M24" i="3" s="1"/>
  <c r="C7" i="3"/>
  <c r="K7" i="3" s="1"/>
  <c r="C23" i="3"/>
  <c r="K23" i="3" s="1"/>
  <c r="C8" i="5"/>
  <c r="K8" i="5" s="1"/>
  <c r="D8" i="5"/>
  <c r="L8" i="5" s="1"/>
  <c r="E23" i="6"/>
  <c r="M23" i="6" s="1"/>
  <c r="B23" i="3"/>
  <c r="J23" i="3" s="1"/>
  <c r="B9" i="3"/>
  <c r="J9" i="3" s="1"/>
  <c r="D24" i="3"/>
  <c r="L24" i="3" s="1"/>
  <c r="C7" i="4"/>
  <c r="K7" i="4" s="1"/>
  <c r="C19" i="5"/>
  <c r="K19" i="5" s="1"/>
  <c r="D7" i="4"/>
  <c r="L7" i="4" s="1"/>
  <c r="E11" i="6"/>
  <c r="E23" i="7"/>
  <c r="M23" i="7" s="1"/>
  <c r="C11" i="7"/>
  <c r="K11" i="7" s="1"/>
  <c r="E24" i="8"/>
  <c r="M24" i="8" s="1"/>
  <c r="C22" i="8"/>
  <c r="K22" i="8" s="1"/>
  <c r="C9" i="9"/>
  <c r="K9" i="9" s="1"/>
  <c r="C21" i="10"/>
  <c r="K21" i="10" s="1"/>
  <c r="D19" i="8"/>
  <c r="L19" i="8" s="1"/>
  <c r="B23" i="16"/>
  <c r="J23" i="16" s="1"/>
  <c r="D10" i="16"/>
  <c r="L10" i="16" s="1"/>
  <c r="C21" i="16"/>
  <c r="K21" i="16" s="1"/>
  <c r="C20" i="16"/>
  <c r="K20" i="16" s="1"/>
  <c r="B20" i="16"/>
  <c r="J20" i="16" s="1"/>
  <c r="D21" i="9"/>
  <c r="L21" i="9" s="1"/>
  <c r="B9" i="16"/>
  <c r="J9" i="16" s="1"/>
  <c r="C22" i="10"/>
  <c r="K22" i="10" s="1"/>
  <c r="B23" i="8"/>
  <c r="J23" i="8" s="1"/>
  <c r="D22" i="8"/>
  <c r="L22" i="8" s="1"/>
  <c r="E12" i="7"/>
  <c r="D12" i="7"/>
  <c r="L12" i="7" s="1"/>
  <c r="B19" i="8"/>
  <c r="J19" i="8" s="1"/>
  <c r="E21" i="16"/>
  <c r="M21" i="16" s="1"/>
  <c r="B21" i="9"/>
  <c r="J21" i="9" s="1"/>
  <c r="B22" i="8"/>
  <c r="J22" i="8" s="1"/>
  <c r="D12" i="8"/>
  <c r="L12" i="8" s="1"/>
  <c r="C11" i="8"/>
  <c r="K11" i="8" s="1"/>
  <c r="E11" i="8"/>
  <c r="E9" i="9"/>
  <c r="B19" i="7"/>
  <c r="J19" i="7" s="1"/>
  <c r="C23" i="16"/>
  <c r="K23" i="16" s="1"/>
  <c r="D24" i="16"/>
  <c r="L24" i="16" s="1"/>
  <c r="E22" i="16"/>
  <c r="M22" i="16" s="1"/>
  <c r="D20" i="16"/>
  <c r="L20" i="16" s="1"/>
  <c r="M20" i="16"/>
  <c r="C10" i="10"/>
  <c r="K10" i="10" s="1"/>
  <c r="B8" i="16"/>
  <c r="J8" i="16" s="1"/>
  <c r="C9" i="16"/>
  <c r="K9" i="16" s="1"/>
  <c r="C11" i="16"/>
  <c r="K11" i="16" s="1"/>
  <c r="D23" i="16"/>
  <c r="L23" i="16" s="1"/>
  <c r="B11" i="7"/>
  <c r="J11" i="7" s="1"/>
  <c r="B12" i="8"/>
  <c r="J12" i="8" s="1"/>
  <c r="B10" i="16"/>
  <c r="J10" i="16" s="1"/>
  <c r="C22" i="16"/>
  <c r="K22" i="16" s="1"/>
  <c r="E7" i="8"/>
  <c r="C8" i="16"/>
  <c r="K8" i="16" s="1"/>
  <c r="D9" i="16"/>
  <c r="L9" i="16" s="1"/>
  <c r="D19" i="16"/>
  <c r="C11" i="9"/>
  <c r="K11" i="9" s="1"/>
  <c r="N11" i="9" s="1"/>
  <c r="C7" i="8"/>
  <c r="K7" i="8" s="1"/>
  <c r="B11" i="8"/>
  <c r="J11" i="8" s="1"/>
  <c r="E21" i="9"/>
  <c r="M21" i="9" s="1"/>
  <c r="B22" i="16"/>
  <c r="J22" i="16" s="1"/>
  <c r="B10" i="7"/>
  <c r="J10" i="7" s="1"/>
  <c r="E10" i="7"/>
  <c r="E11" i="9"/>
  <c r="D7" i="8"/>
  <c r="L7" i="8" s="1"/>
  <c r="D24" i="8"/>
  <c r="B11" i="16"/>
  <c r="J11" i="16" s="1"/>
  <c r="C24" i="16"/>
  <c r="K24" i="16" s="1"/>
  <c r="C8" i="3"/>
  <c r="K8" i="3" s="1"/>
  <c r="B21" i="3"/>
  <c r="J21" i="3" s="1"/>
  <c r="E24" i="4"/>
  <c r="M24" i="4" s="1"/>
  <c r="E22" i="4"/>
  <c r="M22" i="4" s="1"/>
  <c r="C22" i="5"/>
  <c r="K22" i="5" s="1"/>
  <c r="B9" i="5"/>
  <c r="J9" i="5" s="1"/>
  <c r="E7" i="6"/>
  <c r="D7" i="6"/>
  <c r="L7" i="6" s="1"/>
  <c r="D22" i="6"/>
  <c r="L22" i="6" s="1"/>
  <c r="D12" i="3"/>
  <c r="L12" i="3" s="1"/>
  <c r="D21" i="3"/>
  <c r="L21" i="3" s="1"/>
  <c r="D20" i="5"/>
  <c r="L20" i="5" s="1"/>
  <c r="E22" i="6"/>
  <c r="M22" i="6" s="1"/>
  <c r="C7" i="6"/>
  <c r="K7" i="6" s="1"/>
  <c r="C23" i="4"/>
  <c r="K23" i="4" s="1"/>
  <c r="B12" i="3"/>
  <c r="J12" i="3" s="1"/>
  <c r="C22" i="4"/>
  <c r="K22" i="4" s="1"/>
  <c r="C9" i="5"/>
  <c r="K9" i="5" s="1"/>
  <c r="B8" i="4"/>
  <c r="J8" i="4" s="1"/>
  <c r="C21" i="3"/>
  <c r="K21" i="3" s="1"/>
  <c r="B22" i="4"/>
  <c r="J22" i="4" s="1"/>
  <c r="E9" i="5"/>
  <c r="E22" i="5"/>
  <c r="M22" i="5" s="1"/>
  <c r="C12" i="5"/>
  <c r="K12" i="5" s="1"/>
  <c r="C22" i="6"/>
  <c r="K22" i="6" s="1"/>
  <c r="B12" i="5"/>
  <c r="J12" i="5" s="1"/>
  <c r="B21" i="6"/>
  <c r="J21" i="6" s="1"/>
  <c r="D7" i="3"/>
  <c r="L7" i="3" s="1"/>
  <c r="B9" i="4"/>
  <c r="J9" i="4" s="1"/>
  <c r="C20" i="5"/>
  <c r="K20" i="5" s="1"/>
  <c r="C7" i="5"/>
  <c r="K7" i="5" s="1"/>
  <c r="C10" i="3"/>
  <c r="K10" i="3" s="1"/>
  <c r="B8" i="5"/>
  <c r="J8" i="5" s="1"/>
  <c r="E22" i="3"/>
  <c r="M22" i="3" s="1"/>
  <c r="D19" i="3"/>
  <c r="C9" i="4"/>
  <c r="K9" i="4" s="1"/>
  <c r="D7" i="5"/>
  <c r="L7" i="5" s="1"/>
  <c r="C9" i="6"/>
  <c r="K9" i="6" s="1"/>
  <c r="C24" i="4"/>
  <c r="K24" i="4" s="1"/>
  <c r="E7" i="5"/>
  <c r="C9" i="3"/>
  <c r="K9" i="3" s="1"/>
  <c r="C22" i="3"/>
  <c r="K22" i="3" s="1"/>
  <c r="D10" i="3"/>
  <c r="L10" i="3" s="1"/>
  <c r="E11" i="3"/>
  <c r="E9" i="6"/>
  <c r="D21" i="6"/>
  <c r="C21" i="6"/>
  <c r="K21" i="6" s="1"/>
  <c r="D9" i="3"/>
  <c r="L9" i="3" s="1"/>
  <c r="B11" i="3"/>
  <c r="J11" i="3" s="1"/>
  <c r="E7" i="3"/>
  <c r="B9" i="6"/>
  <c r="J9" i="6" s="1"/>
  <c r="C10" i="4"/>
  <c r="D10" i="4"/>
  <c r="L10" i="4" s="1"/>
  <c r="D12" i="6"/>
  <c r="L12" i="6" s="1"/>
  <c r="E12" i="6"/>
  <c r="C7" i="7"/>
  <c r="D7" i="7"/>
  <c r="B7" i="7"/>
  <c r="C12" i="6"/>
  <c r="K12" i="6" s="1"/>
  <c r="E11" i="10"/>
  <c r="B11" i="10"/>
  <c r="J11" i="10" s="1"/>
  <c r="C11" i="10"/>
  <c r="K11" i="10" s="1"/>
  <c r="D11" i="10"/>
  <c r="L11" i="10" s="1"/>
  <c r="B10" i="3"/>
  <c r="J10" i="3" s="1"/>
  <c r="J20" i="6"/>
  <c r="B3" i="10"/>
  <c r="E31" i="10" s="1"/>
  <c r="C40" i="2"/>
  <c r="D10" i="5"/>
  <c r="C10" i="5"/>
  <c r="B10" i="5"/>
  <c r="M20" i="4"/>
  <c r="E8" i="8"/>
  <c r="C8" i="8"/>
  <c r="D8" i="8"/>
  <c r="B8" i="8"/>
  <c r="C19" i="3"/>
  <c r="B20" i="4"/>
  <c r="D20" i="4"/>
  <c r="C20" i="4"/>
  <c r="D23" i="5"/>
  <c r="L23" i="5" s="1"/>
  <c r="E8" i="7"/>
  <c r="E20" i="7"/>
  <c r="B20" i="7"/>
  <c r="D20" i="7"/>
  <c r="L20" i="7" s="1"/>
  <c r="D8" i="10"/>
  <c r="C8" i="10"/>
  <c r="K8" i="10" s="1"/>
  <c r="B12" i="10"/>
  <c r="J12" i="10" s="1"/>
  <c r="E12" i="10"/>
  <c r="E23" i="5"/>
  <c r="M23" i="5" s="1"/>
  <c r="D11" i="6"/>
  <c r="D21" i="5"/>
  <c r="E8" i="4"/>
  <c r="D8" i="4"/>
  <c r="C19" i="7"/>
  <c r="C24" i="8"/>
  <c r="K24" i="8" s="1"/>
  <c r="C19" i="10"/>
  <c r="D19" i="10"/>
  <c r="E12" i="4"/>
  <c r="B11" i="5"/>
  <c r="J11" i="5" s="1"/>
  <c r="C24" i="7"/>
  <c r="K24" i="7" s="1"/>
  <c r="D24" i="7"/>
  <c r="L24" i="7" s="1"/>
  <c r="C10" i="9"/>
  <c r="K10" i="9" s="1"/>
  <c r="D10" i="9"/>
  <c r="L10" i="9" s="1"/>
  <c r="E10" i="9"/>
  <c r="C9" i="10"/>
  <c r="K9" i="10" s="1"/>
  <c r="D9" i="10"/>
  <c r="L9" i="10" s="1"/>
  <c r="B23" i="10"/>
  <c r="J23" i="10" s="1"/>
  <c r="E23" i="10"/>
  <c r="M23" i="10" s="1"/>
  <c r="D19" i="7"/>
  <c r="D22" i="7"/>
  <c r="L22" i="7" s="1"/>
  <c r="B23" i="5"/>
  <c r="J23" i="5" s="1"/>
  <c r="C11" i="6"/>
  <c r="C23" i="8"/>
  <c r="C7" i="9"/>
  <c r="B7" i="9"/>
  <c r="B21" i="10"/>
  <c r="E21" i="10"/>
  <c r="D12" i="4"/>
  <c r="L12" i="4" s="1"/>
  <c r="B12" i="4"/>
  <c r="J12" i="4" s="1"/>
  <c r="B20" i="8"/>
  <c r="E20" i="8"/>
  <c r="E8" i="9"/>
  <c r="C8" i="9"/>
  <c r="K8" i="9" s="1"/>
  <c r="D22" i="9"/>
  <c r="L22" i="9" s="1"/>
  <c r="E22" i="9"/>
  <c r="C7" i="10"/>
  <c r="B7" i="10"/>
  <c r="B40" i="2"/>
  <c r="K7" i="16"/>
  <c r="D7" i="16"/>
  <c r="K19" i="16"/>
  <c r="E7" i="16"/>
  <c r="D11" i="16"/>
  <c r="L11" i="16" s="1"/>
  <c r="E10" i="16"/>
  <c r="E12" i="16"/>
  <c r="B12" i="16"/>
  <c r="J12" i="16" s="1"/>
  <c r="B7" i="16"/>
  <c r="N10" i="10" l="1"/>
  <c r="N12" i="9"/>
  <c r="N21" i="7"/>
  <c r="N20" i="10"/>
  <c r="F40" i="2"/>
  <c r="N9" i="7"/>
  <c r="N24" i="10"/>
  <c r="N22" i="10"/>
  <c r="J25" i="9"/>
  <c r="N24" i="9"/>
  <c r="N12" i="10"/>
  <c r="N21" i="8"/>
  <c r="N9" i="8"/>
  <c r="N23" i="9"/>
  <c r="N20" i="9"/>
  <c r="N21" i="16"/>
  <c r="N23" i="7"/>
  <c r="N10" i="7"/>
  <c r="L13" i="9"/>
  <c r="C25" i="9"/>
  <c r="N19" i="9"/>
  <c r="N10" i="8"/>
  <c r="N12" i="16"/>
  <c r="N8" i="9"/>
  <c r="N11" i="8"/>
  <c r="N19" i="8"/>
  <c r="N9" i="9"/>
  <c r="N10" i="16"/>
  <c r="B25" i="9"/>
  <c r="N12" i="7"/>
  <c r="K25" i="9"/>
  <c r="E13" i="10"/>
  <c r="N22" i="7"/>
  <c r="N20" i="16"/>
  <c r="N21" i="4"/>
  <c r="N8" i="6"/>
  <c r="N23" i="4"/>
  <c r="N24" i="3"/>
  <c r="N23" i="16"/>
  <c r="E25" i="16"/>
  <c r="N19" i="4"/>
  <c r="M25" i="16"/>
  <c r="N9" i="16"/>
  <c r="N12" i="8"/>
  <c r="C13" i="16"/>
  <c r="N11" i="5"/>
  <c r="N24" i="5"/>
  <c r="N8" i="5"/>
  <c r="N24" i="6"/>
  <c r="E25" i="4"/>
  <c r="N19" i="5"/>
  <c r="N7" i="4"/>
  <c r="N11" i="4"/>
  <c r="N19" i="6"/>
  <c r="N20" i="3"/>
  <c r="N11" i="3"/>
  <c r="N7" i="5"/>
  <c r="E25" i="3"/>
  <c r="M25" i="6"/>
  <c r="E13" i="3"/>
  <c r="C25" i="5"/>
  <c r="N7" i="3"/>
  <c r="N21" i="3"/>
  <c r="B25" i="6"/>
  <c r="N7" i="6"/>
  <c r="M25" i="3"/>
  <c r="N12" i="5"/>
  <c r="N23" i="3"/>
  <c r="K25" i="5"/>
  <c r="E13" i="4"/>
  <c r="C25" i="6"/>
  <c r="N22" i="5"/>
  <c r="N22" i="3"/>
  <c r="M25" i="4"/>
  <c r="N23" i="6"/>
  <c r="N9" i="6"/>
  <c r="N24" i="4"/>
  <c r="B25" i="3"/>
  <c r="N22" i="4"/>
  <c r="N9" i="5"/>
  <c r="N11" i="16"/>
  <c r="E13" i="8"/>
  <c r="N7" i="8"/>
  <c r="N22" i="8"/>
  <c r="N23" i="10"/>
  <c r="N9" i="10"/>
  <c r="N8" i="16"/>
  <c r="E13" i="7"/>
  <c r="K13" i="16"/>
  <c r="N24" i="16"/>
  <c r="J25" i="16"/>
  <c r="N11" i="7"/>
  <c r="E13" i="9"/>
  <c r="B25" i="16"/>
  <c r="N10" i="9"/>
  <c r="D25" i="16"/>
  <c r="L19" i="16"/>
  <c r="L25" i="16" s="1"/>
  <c r="L24" i="8"/>
  <c r="L25" i="8" s="1"/>
  <c r="D25" i="8"/>
  <c r="E13" i="16"/>
  <c r="K25" i="16"/>
  <c r="N22" i="16"/>
  <c r="C25" i="16"/>
  <c r="N22" i="6"/>
  <c r="D13" i="3"/>
  <c r="E25" i="6"/>
  <c r="E13" i="5"/>
  <c r="E13" i="6"/>
  <c r="B13" i="3"/>
  <c r="L13" i="3"/>
  <c r="N9" i="4"/>
  <c r="N12" i="3"/>
  <c r="C13" i="3"/>
  <c r="N12" i="6"/>
  <c r="L21" i="6"/>
  <c r="D25" i="6"/>
  <c r="B13" i="6"/>
  <c r="B25" i="5"/>
  <c r="J13" i="6"/>
  <c r="E25" i="5"/>
  <c r="N12" i="4"/>
  <c r="L19" i="3"/>
  <c r="L25" i="3" s="1"/>
  <c r="D25" i="3"/>
  <c r="K25" i="6"/>
  <c r="N9" i="3"/>
  <c r="K20" i="4"/>
  <c r="K25" i="4" s="1"/>
  <c r="C25" i="4"/>
  <c r="K7" i="10"/>
  <c r="K13" i="10" s="1"/>
  <c r="C13" i="10"/>
  <c r="K7" i="9"/>
  <c r="K13" i="9" s="1"/>
  <c r="C13" i="9"/>
  <c r="N24" i="7"/>
  <c r="L8" i="4"/>
  <c r="D13" i="4"/>
  <c r="L8" i="10"/>
  <c r="L13" i="10" s="1"/>
  <c r="D13" i="10"/>
  <c r="L20" i="4"/>
  <c r="L25" i="4" s="1"/>
  <c r="D25" i="4"/>
  <c r="J13" i="4"/>
  <c r="K13" i="3"/>
  <c r="N8" i="3"/>
  <c r="D13" i="9"/>
  <c r="L7" i="16"/>
  <c r="L13" i="16" s="1"/>
  <c r="D13" i="16"/>
  <c r="K23" i="8"/>
  <c r="C25" i="8"/>
  <c r="J20" i="4"/>
  <c r="B25" i="4"/>
  <c r="N20" i="6"/>
  <c r="J25" i="6"/>
  <c r="J13" i="3"/>
  <c r="N10" i="3"/>
  <c r="K10" i="4"/>
  <c r="C13" i="4"/>
  <c r="J7" i="9"/>
  <c r="B13" i="9"/>
  <c r="E25" i="9"/>
  <c r="M22" i="9"/>
  <c r="M25" i="9" s="1"/>
  <c r="K11" i="6"/>
  <c r="C13" i="6"/>
  <c r="L21" i="5"/>
  <c r="D25" i="5"/>
  <c r="J20" i="7"/>
  <c r="B25" i="7"/>
  <c r="D25" i="9"/>
  <c r="J25" i="3"/>
  <c r="C25" i="7"/>
  <c r="K19" i="7"/>
  <c r="B13" i="16"/>
  <c r="J7" i="16"/>
  <c r="N23" i="5"/>
  <c r="L11" i="6"/>
  <c r="L13" i="6" s="1"/>
  <c r="D13" i="6"/>
  <c r="M20" i="7"/>
  <c r="M25" i="7" s="1"/>
  <c r="E25" i="7"/>
  <c r="N21" i="9"/>
  <c r="L25" i="9"/>
  <c r="J7" i="7"/>
  <c r="B13" i="7"/>
  <c r="K19" i="3"/>
  <c r="K25" i="3" s="1"/>
  <c r="C25" i="3"/>
  <c r="L19" i="10"/>
  <c r="L25" i="10" s="1"/>
  <c r="D25" i="10"/>
  <c r="J8" i="8"/>
  <c r="B13" i="8"/>
  <c r="J10" i="5"/>
  <c r="B13" i="5"/>
  <c r="N11" i="10"/>
  <c r="L7" i="7"/>
  <c r="L13" i="7" s="1"/>
  <c r="D13" i="7"/>
  <c r="M21" i="10"/>
  <c r="M25" i="10" s="1"/>
  <c r="E25" i="10"/>
  <c r="K19" i="10"/>
  <c r="C25" i="10"/>
  <c r="L8" i="8"/>
  <c r="L13" i="8" s="1"/>
  <c r="D13" i="8"/>
  <c r="K10" i="5"/>
  <c r="K13" i="5" s="1"/>
  <c r="C13" i="5"/>
  <c r="K7" i="7"/>
  <c r="K13" i="7" s="1"/>
  <c r="C13" i="7"/>
  <c r="J7" i="10"/>
  <c r="B13" i="10"/>
  <c r="M20" i="8"/>
  <c r="M25" i="8" s="1"/>
  <c r="E25" i="8"/>
  <c r="J20" i="8"/>
  <c r="B25" i="8"/>
  <c r="J21" i="10"/>
  <c r="B25" i="10"/>
  <c r="L19" i="7"/>
  <c r="L25" i="7" s="1"/>
  <c r="D25" i="7"/>
  <c r="M25" i="5"/>
  <c r="N20" i="5"/>
  <c r="K8" i="8"/>
  <c r="K13" i="8" s="1"/>
  <c r="C13" i="8"/>
  <c r="D13" i="5"/>
  <c r="L10" i="5"/>
  <c r="L13" i="5" s="1"/>
  <c r="B13" i="4"/>
  <c r="J25" i="5"/>
  <c r="N24" i="8" l="1"/>
  <c r="B15" i="10"/>
  <c r="B27" i="6"/>
  <c r="B27" i="5"/>
  <c r="B15" i="6"/>
  <c r="B15" i="3"/>
  <c r="N19" i="16"/>
  <c r="N25" i="16" s="1"/>
  <c r="B33" i="16" s="1"/>
  <c r="N22" i="9"/>
  <c r="N25" i="9" s="1"/>
  <c r="B33" i="9" s="1"/>
  <c r="B27" i="9"/>
  <c r="N8" i="10"/>
  <c r="B27" i="10"/>
  <c r="B27" i="16"/>
  <c r="B15" i="9"/>
  <c r="B15" i="16"/>
  <c r="N13" i="3"/>
  <c r="B32" i="3" s="1"/>
  <c r="B27" i="3"/>
  <c r="B15" i="5"/>
  <c r="L25" i="6"/>
  <c r="N21" i="6"/>
  <c r="N25" i="6" s="1"/>
  <c r="B33" i="6" s="1"/>
  <c r="N10" i="5"/>
  <c r="N13" i="5" s="1"/>
  <c r="B32" i="5" s="1"/>
  <c r="J13" i="5"/>
  <c r="B15" i="7"/>
  <c r="K13" i="6"/>
  <c r="N11" i="6"/>
  <c r="N13" i="6" s="1"/>
  <c r="B32" i="6" s="1"/>
  <c r="K13" i="4"/>
  <c r="N10" i="4"/>
  <c r="N23" i="8"/>
  <c r="K25" i="8"/>
  <c r="J13" i="10"/>
  <c r="N7" i="10"/>
  <c r="K25" i="10"/>
  <c r="N19" i="10"/>
  <c r="B15" i="8"/>
  <c r="J13" i="7"/>
  <c r="N7" i="7"/>
  <c r="N13" i="7" s="1"/>
  <c r="B32" i="7" s="1"/>
  <c r="N19" i="3"/>
  <c r="N25" i="3" s="1"/>
  <c r="B33" i="3" s="1"/>
  <c r="N8" i="4"/>
  <c r="L13" i="4"/>
  <c r="N21" i="10"/>
  <c r="J25" i="10"/>
  <c r="N8" i="8"/>
  <c r="N13" i="8" s="1"/>
  <c r="B32" i="8" s="1"/>
  <c r="J13" i="8"/>
  <c r="J13" i="16"/>
  <c r="N7" i="16"/>
  <c r="N13" i="16" s="1"/>
  <c r="B32" i="16" s="1"/>
  <c r="B15" i="4"/>
  <c r="B27" i="7"/>
  <c r="N20" i="8"/>
  <c r="J25" i="8"/>
  <c r="K25" i="7"/>
  <c r="N19" i="7"/>
  <c r="N20" i="7"/>
  <c r="J25" i="7"/>
  <c r="B27" i="4"/>
  <c r="B27" i="8"/>
  <c r="N21" i="5"/>
  <c r="N25" i="5" s="1"/>
  <c r="B33" i="5" s="1"/>
  <c r="L25" i="5"/>
  <c r="J13" i="9"/>
  <c r="N7" i="9"/>
  <c r="N13" i="9" s="1"/>
  <c r="B32" i="9" s="1"/>
  <c r="N20" i="4"/>
  <c r="N25" i="4" s="1"/>
  <c r="B33" i="4" s="1"/>
  <c r="J25" i="4"/>
  <c r="C33" i="6" l="1"/>
  <c r="D10" i="1" s="1"/>
  <c r="B29" i="9"/>
  <c r="N25" i="10"/>
  <c r="B33" i="10" s="1"/>
  <c r="C33" i="10" s="1"/>
  <c r="C33" i="9"/>
  <c r="D13" i="1" s="1"/>
  <c r="C32" i="3"/>
  <c r="C7" i="1" s="1"/>
  <c r="B29" i="3"/>
  <c r="B29" i="10"/>
  <c r="C33" i="5"/>
  <c r="D9" i="1" s="1"/>
  <c r="B29" i="6"/>
  <c r="B29" i="5"/>
  <c r="C33" i="4"/>
  <c r="D8" i="1" s="1"/>
  <c r="B29" i="4"/>
  <c r="N13" i="4"/>
  <c r="B32" i="4" s="1"/>
  <c r="B34" i="4" s="1"/>
  <c r="B29" i="8"/>
  <c r="B29" i="16"/>
  <c r="N25" i="7"/>
  <c r="B33" i="7" s="1"/>
  <c r="B34" i="7" s="1"/>
  <c r="C33" i="16"/>
  <c r="D14" i="1" s="1"/>
  <c r="N25" i="8"/>
  <c r="B33" i="8" s="1"/>
  <c r="C33" i="8" s="1"/>
  <c r="D12" i="1" s="1"/>
  <c r="N13" i="10"/>
  <c r="B32" i="10" s="1"/>
  <c r="C32" i="10" s="1"/>
  <c r="C33" i="3"/>
  <c r="D7" i="1" s="1"/>
  <c r="C32" i="8"/>
  <c r="C12" i="1" s="1"/>
  <c r="B34" i="6"/>
  <c r="C32" i="6"/>
  <c r="C10" i="1" s="1"/>
  <c r="B29" i="7"/>
  <c r="B34" i="16"/>
  <c r="C32" i="16"/>
  <c r="C14" i="1" s="1"/>
  <c r="B34" i="5"/>
  <c r="C32" i="5"/>
  <c r="C9" i="1" s="1"/>
  <c r="C32" i="7"/>
  <c r="C11" i="1" s="1"/>
  <c r="C32" i="9"/>
  <c r="C13" i="1" s="1"/>
  <c r="B34" i="9"/>
  <c r="B34" i="3"/>
  <c r="C33" i="7" l="1"/>
  <c r="D11" i="1" s="1"/>
  <c r="C32" i="4"/>
  <c r="C8" i="1" s="1"/>
  <c r="B34" i="8"/>
  <c r="C34" i="8" s="1"/>
  <c r="E12" i="1" s="1"/>
  <c r="B34" i="10"/>
  <c r="C34" i="10" s="1"/>
  <c r="F10" i="1"/>
  <c r="C34" i="6"/>
  <c r="E10" i="1" s="1"/>
  <c r="C34" i="7"/>
  <c r="E11" i="1" s="1"/>
  <c r="F11" i="1"/>
  <c r="F9" i="1"/>
  <c r="C34" i="5"/>
  <c r="E9" i="1" s="1"/>
  <c r="C34" i="3"/>
  <c r="E7" i="1" s="1"/>
  <c r="F7" i="1"/>
  <c r="C34" i="9"/>
  <c r="E13" i="1" s="1"/>
  <c r="F13" i="1"/>
  <c r="C34" i="16"/>
  <c r="E14" i="1" s="1"/>
  <c r="F14" i="1"/>
  <c r="F8" i="1"/>
  <c r="C34" i="4"/>
  <c r="E8" i="1" s="1"/>
  <c r="F12" i="1" l="1"/>
  <c r="F15" i="1" s="1"/>
</calcChain>
</file>

<file path=xl/sharedStrings.xml><?xml version="1.0" encoding="utf-8"?>
<sst xmlns="http://schemas.openxmlformats.org/spreadsheetml/2006/main" count="808" uniqueCount="90">
  <si>
    <t>UI Standard Service Tranche</t>
  </si>
  <si>
    <t xml:space="preserve">Tranche Definition </t>
  </si>
  <si>
    <t>Total $/MWh</t>
  </si>
  <si>
    <t>Total $</t>
  </si>
  <si>
    <t>UI SS Tranche 2</t>
  </si>
  <si>
    <t>UI SS Tranche 3</t>
  </si>
  <si>
    <t>UI SS Tranche 5</t>
  </si>
  <si>
    <t>UI SS Tranche 6</t>
  </si>
  <si>
    <t>UI SS Tranche 7</t>
  </si>
  <si>
    <t>Total</t>
  </si>
  <si>
    <t>Bidder and Bid Identification</t>
  </si>
  <si>
    <t>SAMPLE - Bidder "X"- NOT TO BE USED FOR BID SUBMITTAL</t>
  </si>
  <si>
    <t>Additional Instructions:</t>
  </si>
  <si>
    <t xml:space="preserve">UI SS TOTAL Bidding Load  </t>
  </si>
  <si>
    <t>Month</t>
  </si>
  <si>
    <t>Residential</t>
  </si>
  <si>
    <t>January</t>
  </si>
  <si>
    <t>February</t>
  </si>
  <si>
    <t>March</t>
  </si>
  <si>
    <t>April</t>
  </si>
  <si>
    <t>May</t>
  </si>
  <si>
    <t>June</t>
  </si>
  <si>
    <t>July</t>
  </si>
  <si>
    <t>August</t>
  </si>
  <si>
    <t>September</t>
  </si>
  <si>
    <t>October</t>
  </si>
  <si>
    <t>November</t>
  </si>
  <si>
    <t>December</t>
  </si>
  <si>
    <t xml:space="preserve"> </t>
  </si>
  <si>
    <t>Service Term 1:</t>
  </si>
  <si>
    <t xml:space="preserve">Service Term 2: </t>
  </si>
  <si>
    <t>1H</t>
  </si>
  <si>
    <t>2H</t>
  </si>
  <si>
    <t xml:space="preserve">2. Modify yellow cells only. Make no changes in other cells.  </t>
  </si>
  <si>
    <t>3. Do not enter pricing on this page. Pricing on this page populates automatically. Enter pricing in tabs for each Tranche in this Workbook. Workbook rounds prices to nearest $.01/MWh.</t>
  </si>
  <si>
    <t>4. For any Tranche quoted, make sure prices are populated for every month, each customer class and for both peak and off peak periods. However, prices do not have to vary on this basis (i.e. suppliers are not obligated to differentiate pricing between customer classes, month or time of use).</t>
  </si>
  <si>
    <t>UI SS Tranche 8</t>
  </si>
  <si>
    <t>UI SS Tranche 4</t>
  </si>
  <si>
    <t>Procurement (MMYYYY):</t>
  </si>
  <si>
    <t>Term</t>
  </si>
  <si>
    <t>Year</t>
  </si>
  <si>
    <t>Small C&amp;I</t>
  </si>
  <si>
    <t>Large C&amp;I</t>
  </si>
  <si>
    <t>Street Lights</t>
  </si>
  <si>
    <t>N/A</t>
  </si>
  <si>
    <t>Totals</t>
  </si>
  <si>
    <t>$/MWh</t>
  </si>
  <si>
    <t>Bidder Identification</t>
  </si>
  <si>
    <t>On-peak total quantities for evaluation (MWh)</t>
  </si>
  <si>
    <t>Off-peak total quantities for evaluation (MWh)</t>
  </si>
  <si>
    <t>On-peak Quantity (MWh)</t>
  </si>
  <si>
    <t>On-peak Bid Price ($/MWh)</t>
  </si>
  <si>
    <t>On-peak Total Cost ($)</t>
  </si>
  <si>
    <t>Off-peak Quantity (MWh)</t>
  </si>
  <si>
    <t>Off-peak Bid Price ($/MWh)</t>
  </si>
  <si>
    <t>Off-peak Total Cost ($)</t>
  </si>
  <si>
    <t>Total On-peak (MWh)</t>
  </si>
  <si>
    <t>Total Off-peak (MWh)</t>
  </si>
  <si>
    <t>Total On-peak Bid</t>
  </si>
  <si>
    <t>Total Off-peak Bid</t>
  </si>
  <si>
    <t>Total Bid</t>
  </si>
  <si>
    <t>Total (MWh)</t>
  </si>
  <si>
    <t>Total Cost</t>
  </si>
  <si>
    <t>On-peak $/MWh</t>
  </si>
  <si>
    <t>UI SS Tranche 1</t>
  </si>
  <si>
    <t xml:space="preserve">1. DO NOT USE SAMPLE BIDDER WORKBOOK FROM RFP DOCUMENTS TO SUBMIT BIDS. Use Official Bidder Workbook with your unique alpha-numeric identifier provided by UI. Price quotes provided in any other format will not be accepted. </t>
  </si>
  <si>
    <t>Total, on-peak 1H</t>
  </si>
  <si>
    <t>Total, off-peak 1H</t>
  </si>
  <si>
    <t>Total, on-peak 2H</t>
  </si>
  <si>
    <t>Total, off-peak 2H</t>
  </si>
  <si>
    <t>Total on-peak</t>
  </si>
  <si>
    <t>Total off-peak</t>
  </si>
  <si>
    <t>Off-peak $/MWh</t>
  </si>
  <si>
    <t>Workbook Identifier</t>
  </si>
  <si>
    <t>Delivery Term 1, Tranche 1</t>
  </si>
  <si>
    <t>Energy On-Peak Price Per MWh ($/MWh)</t>
  </si>
  <si>
    <t>Energy Off-Peak Price Per MWh ($/MWh)</t>
  </si>
  <si>
    <t>Delivery Term 1, Tranche 2</t>
  </si>
  <si>
    <t>Delivery Term 1, Tranche 3</t>
  </si>
  <si>
    <t>Delivery Term 1, Tranche 4</t>
  </si>
  <si>
    <t>Delivery Term 2, Tranche 6</t>
  </si>
  <si>
    <t>Delivery Term 2, Tranche 5</t>
  </si>
  <si>
    <t>Delivery Term 2, Tranche 7</t>
  </si>
  <si>
    <t>Delivery Term 2, Tranche 8</t>
  </si>
  <si>
    <t xml:space="preserve">6. Quantities provided in Bidding_Load worksheet in this file represent total UI Standard Service load. Quantities show for each Tranche are 10% of these quantities.  </t>
  </si>
  <si>
    <t xml:space="preserve">7. Suppliers are responsible for serving the awarded portion of actual Standard Service load, irrespective of the quantities in this table. Quantities in workbook are for bid evaluation purposes only and are not relevant to contractual service obligations. Actual load will differ from these quantities.   </t>
  </si>
  <si>
    <t>Bidder "X"</t>
  </si>
  <si>
    <t>072026</t>
  </si>
  <si>
    <t>CONFIDENTIAL UNTIL 10/20/2026</t>
  </si>
  <si>
    <r>
      <t>5. Quantities in "Bidding_ Load" worksheet are the product of hourly total UI load (including customers taking generation service from entities other than UI) for</t>
    </r>
    <r>
      <rPr>
        <sz val="10"/>
        <color indexed="10"/>
        <rFont val="Arial"/>
        <family val="2"/>
      </rPr>
      <t xml:space="preserve"> 04/01/2025 - 03/31/2026, times the March 2026 </t>
    </r>
    <r>
      <rPr>
        <sz val="10"/>
        <rFont val="Arial"/>
        <family val="2"/>
      </rPr>
      <t>migration percentages (percentage of customers in each Customer Class taking generation service from UI).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</si>
</sst>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000_);_(* \(#,##0.000\);_(* &quot;-&quot;??_);_(@_)"/>
    <numFmt numFmtId="165" formatCode="_(* #,##0_);_(* \(#,##0\);_(* &quot;-&quot;??_);_(@_)"/>
    <numFmt numFmtId="166" formatCode="_(&quot;$&quot;* #,##0.00_);_(&quot;$&quot;* \(#,##0.00\);_(&quot;$&quot;* &quot;-&quot;???_);_(@_)"/>
    <numFmt numFmtId="167" formatCode="mmmm\-yyyy"/>
  </numFmts>
  <fonts count="24" x14ac:knownFonts="1">
    <font>
      <sz val="11"/>
      <color theme="1"/>
      <name val="Calibri"/>
      <family val="2"/>
      <scheme val="minor"/>
    </font>
    <font>
      <b/>
      <sz val="14"/>
      <color indexed="10"/>
      <name val="Arial"/>
      <family val="2"/>
    </font>
    <font>
      <sz val="8"/>
      <name val="Arial"/>
      <family val="2"/>
    </font>
    <font>
      <b/>
      <sz val="10"/>
      <name val="Arial"/>
      <family val="2"/>
    </font>
    <font>
      <b/>
      <sz val="8"/>
      <name val="Arial"/>
      <family val="2"/>
    </font>
    <font>
      <sz val="10"/>
      <name val="Arial"/>
      <family val="2"/>
    </font>
    <font>
      <sz val="10"/>
      <color indexed="10"/>
      <name val="Arial"/>
      <family val="2"/>
    </font>
    <font>
      <b/>
      <sz val="12"/>
      <name val="Arial"/>
      <family val="2"/>
    </font>
    <font>
      <b/>
      <sz val="10"/>
      <color indexed="10"/>
      <name val="Arial"/>
      <family val="2"/>
    </font>
    <font>
      <b/>
      <sz val="8"/>
      <color indexed="10"/>
      <name val="Arial"/>
      <family val="2"/>
    </font>
    <font>
      <b/>
      <sz val="12"/>
      <name val="Times New Roman"/>
      <family val="1"/>
    </font>
    <font>
      <b/>
      <sz val="10"/>
      <name val="Times New Roman"/>
      <family val="1"/>
    </font>
    <font>
      <sz val="10"/>
      <name val="Times New Roman"/>
      <family val="1"/>
    </font>
    <font>
      <sz val="11"/>
      <color theme="1"/>
      <name val="Calibri"/>
      <family val="2"/>
      <scheme val="minor"/>
    </font>
    <font>
      <sz val="8"/>
      <color rgb="FFFF0000"/>
      <name val="Arial"/>
      <family val="2"/>
    </font>
    <font>
      <sz val="8"/>
      <color rgb="FF0000FF"/>
      <name val="Arial"/>
      <family val="2"/>
    </font>
    <font>
      <b/>
      <sz val="8"/>
      <color rgb="FF0000FF"/>
      <name val="Arial"/>
      <family val="2"/>
    </font>
    <font>
      <b/>
      <sz val="12"/>
      <color rgb="FF0000FF"/>
      <name val="Arial"/>
      <family val="2"/>
    </font>
    <font>
      <b/>
      <sz val="10"/>
      <color rgb="FF0000FF"/>
      <name val="Arial"/>
      <family val="2"/>
    </font>
    <font>
      <sz val="10"/>
      <color rgb="FF0000FF"/>
      <name val="Arial"/>
      <family val="2"/>
    </font>
    <font>
      <sz val="14"/>
      <color rgb="FFFF0000"/>
      <name val="Arial"/>
      <family val="2"/>
    </font>
    <font>
      <sz val="10"/>
      <color rgb="FFFF0000"/>
      <name val="Arial"/>
      <family val="2"/>
    </font>
    <font>
      <b/>
      <sz val="14"/>
      <color rgb="FF0000FF"/>
      <name val="Arial"/>
      <family val="2"/>
    </font>
    <font>
      <sz val="11"/>
      <color rgb="FF0000FF"/>
      <name val="Calibri"/>
      <family val="2"/>
      <scheme val="minor"/>
    </font>
  </fonts>
  <fills count="6">
    <fill>
      <patternFill patternType="none"/>
    </fill>
    <fill>
      <patternFill patternType="gray125"/>
    </fill>
    <fill>
      <patternFill patternType="solid">
        <fgColor theme="0" tint="-0.24994659260841701"/>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3" fillId="0" borderId="0" applyFont="0" applyFill="0" applyBorder="0" applyAlignment="0" applyProtection="0"/>
    <xf numFmtId="44" fontId="13" fillId="0" borderId="0" applyFont="0" applyFill="0" applyBorder="0" applyAlignment="0" applyProtection="0"/>
  </cellStyleXfs>
  <cellXfs count="120">
    <xf numFmtId="0" fontId="0" fillId="0" borderId="0" xfId="0"/>
    <xf numFmtId="0" fontId="2" fillId="0" borderId="0" xfId="0" applyFont="1"/>
    <xf numFmtId="14" fontId="2" fillId="0" borderId="0" xfId="0" applyNumberFormat="1" applyFont="1"/>
    <xf numFmtId="0" fontId="3" fillId="0" borderId="0" xfId="0" applyFont="1"/>
    <xf numFmtId="0" fontId="2" fillId="0" borderId="1" xfId="0" applyFont="1" applyBorder="1"/>
    <xf numFmtId="0" fontId="8" fillId="0" borderId="0" xfId="0" applyFont="1"/>
    <xf numFmtId="0" fontId="5" fillId="0" borderId="0" xfId="0" applyFont="1"/>
    <xf numFmtId="0" fontId="4" fillId="0" borderId="0" xfId="0" applyFont="1"/>
    <xf numFmtId="0" fontId="9" fillId="0" borderId="0" xfId="0" applyFont="1"/>
    <xf numFmtId="0" fontId="4" fillId="0" borderId="1" xfId="0" applyFont="1" applyBorder="1"/>
    <xf numFmtId="0" fontId="2" fillId="0" borderId="0" xfId="0" applyFont="1" applyAlignment="1">
      <alignment horizontal="center"/>
    </xf>
    <xf numFmtId="3" fontId="14" fillId="0" borderId="1" xfId="1" applyNumberFormat="1" applyFont="1" applyBorder="1"/>
    <xf numFmtId="3" fontId="15" fillId="0" borderId="1" xfId="0" applyNumberFormat="1" applyFont="1" applyBorder="1"/>
    <xf numFmtId="3" fontId="16" fillId="0" borderId="1" xfId="0" applyNumberFormat="1" applyFont="1" applyBorder="1"/>
    <xf numFmtId="164" fontId="2" fillId="0" borderId="0" xfId="0" applyNumberFormat="1" applyFont="1"/>
    <xf numFmtId="3" fontId="14" fillId="0" borderId="1" xfId="0" applyNumberFormat="1" applyFont="1" applyBorder="1"/>
    <xf numFmtId="164" fontId="2" fillId="0" borderId="0" xfId="1" applyNumberFormat="1" applyFont="1"/>
    <xf numFmtId="165" fontId="4" fillId="0" borderId="0" xfId="0" applyNumberFormat="1" applyFont="1"/>
    <xf numFmtId="43" fontId="2" fillId="0" borderId="0" xfId="0" applyNumberFormat="1" applyFont="1"/>
    <xf numFmtId="43" fontId="4" fillId="0" borderId="0" xfId="0" applyNumberFormat="1" applyFont="1"/>
    <xf numFmtId="0" fontId="14" fillId="0" borderId="0" xfId="0" applyFont="1" applyAlignment="1">
      <alignment horizontal="center"/>
    </xf>
    <xf numFmtId="0" fontId="4" fillId="2" borderId="1" xfId="0" applyFont="1" applyFill="1" applyBorder="1" applyAlignment="1">
      <alignment horizontal="center"/>
    </xf>
    <xf numFmtId="0" fontId="4" fillId="2" borderId="1" xfId="0" applyFont="1" applyFill="1" applyBorder="1" applyAlignment="1">
      <alignment wrapText="1"/>
    </xf>
    <xf numFmtId="0" fontId="4" fillId="2" borderId="1" xfId="0" applyFont="1" applyFill="1" applyBorder="1"/>
    <xf numFmtId="0" fontId="2" fillId="0" borderId="1" xfId="0" applyFont="1" applyBorder="1" applyAlignment="1">
      <alignment horizontal="center"/>
    </xf>
    <xf numFmtId="0" fontId="15" fillId="0" borderId="1" xfId="0" applyFont="1" applyBorder="1"/>
    <xf numFmtId="0" fontId="7" fillId="0" borderId="0" xfId="0" applyFont="1"/>
    <xf numFmtId="0" fontId="5" fillId="0" borderId="0" xfId="0" applyFont="1" applyAlignment="1">
      <alignment horizontal="center"/>
    </xf>
    <xf numFmtId="164" fontId="4" fillId="0" borderId="0" xfId="1" applyNumberFormat="1" applyFont="1"/>
    <xf numFmtId="165" fontId="4" fillId="0" borderId="0" xfId="1" applyNumberFormat="1" applyFont="1"/>
    <xf numFmtId="44" fontId="4" fillId="0" borderId="0" xfId="2" applyFont="1"/>
    <xf numFmtId="44" fontId="4" fillId="0" borderId="0" xfId="2" applyFont="1" applyAlignment="1">
      <alignment horizontal="center"/>
    </xf>
    <xf numFmtId="0" fontId="0" fillId="0" borderId="0" xfId="0" applyAlignment="1">
      <alignment horizontal="center"/>
    </xf>
    <xf numFmtId="0" fontId="17" fillId="0" borderId="0" xfId="0" applyFont="1"/>
    <xf numFmtId="0" fontId="7" fillId="0" borderId="0" xfId="0" applyNumberFormat="1" applyFont="1"/>
    <xf numFmtId="0" fontId="0" fillId="0" borderId="0" xfId="0" applyNumberFormat="1"/>
    <xf numFmtId="0" fontId="15" fillId="0" borderId="1" xfId="0" applyNumberFormat="1" applyFont="1" applyBorder="1" applyAlignment="1">
      <alignment horizontal="left"/>
    </xf>
    <xf numFmtId="164" fontId="4" fillId="2" borderId="1" xfId="1" applyNumberFormat="1" applyFont="1" applyFill="1" applyBorder="1" applyAlignment="1">
      <alignment horizontal="center"/>
    </xf>
    <xf numFmtId="0" fontId="4" fillId="2" borderId="1" xfId="0" applyFont="1" applyFill="1" applyBorder="1" applyAlignment="1">
      <alignment horizontal="center"/>
    </xf>
    <xf numFmtId="0" fontId="4" fillId="2" borderId="1" xfId="1" applyNumberFormat="1" applyFont="1" applyFill="1" applyBorder="1"/>
    <xf numFmtId="44" fontId="2" fillId="0" borderId="1" xfId="2" applyFont="1" applyBorder="1" applyAlignment="1">
      <alignment horizontal="center"/>
    </xf>
    <xf numFmtId="37" fontId="15" fillId="0" borderId="1" xfId="1" applyNumberFormat="1" applyFont="1" applyBorder="1"/>
    <xf numFmtId="37" fontId="16" fillId="2" borderId="1" xfId="1" applyNumberFormat="1" applyFont="1" applyFill="1" applyBorder="1"/>
    <xf numFmtId="165" fontId="16" fillId="2" borderId="1" xfId="0" applyNumberFormat="1" applyFont="1" applyFill="1" applyBorder="1"/>
    <xf numFmtId="0" fontId="4" fillId="2" borderId="1" xfId="0" applyFont="1" applyFill="1" applyBorder="1" applyAlignment="1">
      <alignment horizontal="center" vertical="center"/>
    </xf>
    <xf numFmtId="0" fontId="2" fillId="0" borderId="0" xfId="1" applyNumberFormat="1" applyFont="1" applyFill="1" applyBorder="1" applyAlignment="1">
      <alignment horizontal="left"/>
    </xf>
    <xf numFmtId="164" fontId="2" fillId="0" borderId="0" xfId="0" applyNumberFormat="1" applyFont="1" applyFill="1" applyBorder="1"/>
    <xf numFmtId="0" fontId="2" fillId="0" borderId="0" xfId="0" applyFont="1" applyFill="1" applyBorder="1"/>
    <xf numFmtId="0" fontId="4" fillId="2" borderId="1" xfId="0" applyNumberFormat="1" applyFont="1" applyFill="1" applyBorder="1"/>
    <xf numFmtId="0" fontId="2" fillId="0" borderId="1" xfId="0" applyNumberFormat="1" applyFont="1" applyFill="1" applyBorder="1"/>
    <xf numFmtId="0" fontId="3" fillId="2" borderId="2" xfId="0" applyFont="1" applyFill="1" applyBorder="1"/>
    <xf numFmtId="0" fontId="0" fillId="2" borderId="0" xfId="0" applyFill="1" applyBorder="1"/>
    <xf numFmtId="0" fontId="3" fillId="2" borderId="0" xfId="0" applyFont="1" applyFill="1" applyBorder="1"/>
    <xf numFmtId="0" fontId="3" fillId="2" borderId="3" xfId="0" applyFont="1" applyFill="1" applyBorder="1"/>
    <xf numFmtId="44" fontId="2" fillId="3" borderId="1" xfId="2" applyNumberFormat="1" applyFont="1" applyFill="1" applyBorder="1" applyProtection="1">
      <protection locked="0"/>
    </xf>
    <xf numFmtId="0" fontId="4" fillId="4" borderId="1" xfId="0" applyNumberFormat="1" applyFont="1" applyFill="1" applyBorder="1"/>
    <xf numFmtId="44" fontId="15" fillId="0" borderId="1" xfId="2" applyNumberFormat="1" applyFont="1" applyBorder="1"/>
    <xf numFmtId="44" fontId="16" fillId="2" borderId="1" xfId="0" applyNumberFormat="1" applyFont="1" applyFill="1" applyBorder="1"/>
    <xf numFmtId="44" fontId="16" fillId="2" borderId="1" xfId="2" applyNumberFormat="1" applyFont="1" applyFill="1" applyBorder="1"/>
    <xf numFmtId="166" fontId="2" fillId="0" borderId="1" xfId="2" applyNumberFormat="1" applyFont="1" applyFill="1" applyBorder="1" applyAlignment="1" applyProtection="1">
      <alignment horizontal="center"/>
    </xf>
    <xf numFmtId="0" fontId="18" fillId="0" borderId="0" xfId="0" applyFont="1"/>
    <xf numFmtId="44" fontId="15" fillId="0" borderId="1" xfId="2" applyNumberFormat="1" applyFont="1" applyFill="1" applyBorder="1"/>
    <xf numFmtId="44" fontId="15" fillId="0" borderId="1" xfId="2" applyFont="1" applyFill="1" applyBorder="1"/>
    <xf numFmtId="44" fontId="16" fillId="4" borderId="1" xfId="2" applyNumberFormat="1" applyFont="1" applyFill="1" applyBorder="1"/>
    <xf numFmtId="44" fontId="16" fillId="4" borderId="1" xfId="2" applyFont="1" applyFill="1" applyBorder="1"/>
    <xf numFmtId="0" fontId="19" fillId="0" borderId="0" xfId="0" applyFont="1"/>
    <xf numFmtId="0" fontId="3" fillId="2" borderId="1" xfId="0" applyFont="1" applyFill="1" applyBorder="1" applyAlignment="1">
      <alignment vertical="center" wrapText="1"/>
    </xf>
    <xf numFmtId="0" fontId="0" fillId="5" borderId="0" xfId="0" applyFill="1"/>
    <xf numFmtId="0" fontId="12" fillId="0" borderId="1" xfId="0" applyFont="1" applyBorder="1" applyAlignment="1">
      <alignment horizontal="center"/>
    </xf>
    <xf numFmtId="167" fontId="2" fillId="0" borderId="1" xfId="0" applyNumberFormat="1" applyFont="1" applyBorder="1" applyAlignment="1">
      <alignment horizontal="left"/>
    </xf>
    <xf numFmtId="44" fontId="12" fillId="0" borderId="1" xfId="2" applyFont="1" applyBorder="1" applyAlignment="1">
      <alignment horizontal="center"/>
    </xf>
    <xf numFmtId="0" fontId="4" fillId="2" borderId="1" xfId="0" applyFont="1" applyFill="1" applyBorder="1" applyAlignment="1">
      <alignment horizontal="center"/>
    </xf>
    <xf numFmtId="49" fontId="14" fillId="0" borderId="0" xfId="0" quotePrefix="1" applyNumberFormat="1" applyFont="1" applyAlignment="1">
      <alignment horizontal="left"/>
    </xf>
    <xf numFmtId="0" fontId="2" fillId="0" borderId="1" xfId="0" applyFont="1" applyFill="1" applyBorder="1" applyAlignment="1">
      <alignment horizontal="center"/>
    </xf>
    <xf numFmtId="0" fontId="15" fillId="0" borderId="1" xfId="0" applyFont="1" applyFill="1" applyBorder="1"/>
    <xf numFmtId="0" fontId="8" fillId="0" borderId="0" xfId="0" applyFont="1" applyAlignment="1">
      <alignment wrapText="1"/>
    </xf>
    <xf numFmtId="0" fontId="0" fillId="0" borderId="0" xfId="0" applyAlignment="1">
      <alignment wrapText="1"/>
    </xf>
    <xf numFmtId="0" fontId="20" fillId="0" borderId="1" xfId="0" applyFont="1" applyBorder="1" applyAlignment="1">
      <alignment horizontal="center" vertical="center" wrapText="1"/>
    </xf>
    <xf numFmtId="0" fontId="21" fillId="3" borderId="7"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5" fillId="0" borderId="7" xfId="0" applyFont="1" applyBorder="1" applyAlignment="1">
      <alignment wrapText="1"/>
    </xf>
    <xf numFmtId="0" fontId="5" fillId="0" borderId="8" xfId="0" applyFont="1" applyBorder="1" applyAlignment="1">
      <alignment wrapText="1"/>
    </xf>
    <xf numFmtId="0" fontId="5" fillId="0" borderId="9" xfId="0" applyFont="1" applyBorder="1" applyAlignment="1">
      <alignment wrapText="1"/>
    </xf>
    <xf numFmtId="0" fontId="7" fillId="2" borderId="7" xfId="0" applyFont="1" applyFill="1" applyBorder="1" applyAlignment="1">
      <alignment horizontal="left"/>
    </xf>
    <xf numFmtId="0" fontId="7" fillId="2" borderId="8" xfId="0" applyFont="1" applyFill="1" applyBorder="1" applyAlignment="1">
      <alignment horizontal="left"/>
    </xf>
    <xf numFmtId="0" fontId="7" fillId="2" borderId="9" xfId="0" applyFont="1" applyFill="1" applyBorder="1" applyAlignment="1">
      <alignment horizontal="left"/>
    </xf>
    <xf numFmtId="0" fontId="19" fillId="0" borderId="7" xfId="0" applyFont="1" applyFill="1" applyBorder="1" applyAlignment="1">
      <alignment horizontal="left" vertical="center" wrapText="1"/>
    </xf>
    <xf numFmtId="0" fontId="19" fillId="0" borderId="8" xfId="0" applyFont="1" applyFill="1" applyBorder="1" applyAlignment="1">
      <alignment horizontal="left" vertical="center" wrapText="1"/>
    </xf>
    <xf numFmtId="0" fontId="19" fillId="0" borderId="9" xfId="0" applyFont="1" applyFill="1" applyBorder="1" applyAlignment="1">
      <alignment horizontal="left" vertical="center" wrapText="1"/>
    </xf>
    <xf numFmtId="0" fontId="5" fillId="0" borderId="4" xfId="0" applyFont="1" applyBorder="1" applyAlignment="1">
      <alignment wrapText="1"/>
    </xf>
    <xf numFmtId="0" fontId="5" fillId="0" borderId="5" xfId="0" applyFont="1" applyBorder="1" applyAlignment="1">
      <alignment wrapText="1"/>
    </xf>
    <xf numFmtId="0" fontId="5" fillId="0" borderId="6" xfId="0" applyFont="1" applyBorder="1" applyAlignment="1">
      <alignment wrapText="1"/>
    </xf>
    <xf numFmtId="0" fontId="1" fillId="0" borderId="0" xfId="0" applyFont="1" applyFill="1" applyAlignment="1">
      <alignment horizontal="center"/>
    </xf>
    <xf numFmtId="0" fontId="3" fillId="2" borderId="1" xfId="0" applyFont="1" applyFill="1" applyBorder="1" applyAlignment="1">
      <alignment horizontal="center"/>
    </xf>
    <xf numFmtId="0" fontId="4" fillId="2" borderId="1" xfId="0" applyFont="1" applyFill="1" applyBorder="1" applyAlignment="1">
      <alignment horizontal="left"/>
    </xf>
    <xf numFmtId="0" fontId="0" fillId="0" borderId="8" xfId="0" applyBorder="1" applyAlignment="1">
      <alignment wrapText="1"/>
    </xf>
    <xf numFmtId="0" fontId="0" fillId="0" borderId="9" xfId="0" applyBorder="1" applyAlignment="1">
      <alignment wrapText="1"/>
    </xf>
    <xf numFmtId="0" fontId="4" fillId="2" borderId="7"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22" fillId="0" borderId="0" xfId="0" applyFont="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16" fillId="2" borderId="4" xfId="0" applyFont="1" applyFill="1"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4" fillId="2" borderId="1" xfId="0" applyNumberFormat="1" applyFont="1" applyFill="1" applyBorder="1" applyAlignment="1">
      <alignment horizontal="center" vertical="center"/>
    </xf>
    <xf numFmtId="0" fontId="23" fillId="2" borderId="2" xfId="0" applyFont="1" applyFill="1" applyBorder="1" applyAlignment="1">
      <alignment horizontal="center" wrapText="1"/>
    </xf>
    <xf numFmtId="0" fontId="23" fillId="2" borderId="0" xfId="0" applyFont="1" applyFill="1" applyBorder="1" applyAlignment="1">
      <alignment horizontal="center" wrapText="1"/>
    </xf>
    <xf numFmtId="0" fontId="23" fillId="2" borderId="3" xfId="0" applyFont="1" applyFill="1" applyBorder="1" applyAlignment="1">
      <alignment horizontal="center" wrapText="1"/>
    </xf>
    <xf numFmtId="0" fontId="4" fillId="2" borderId="1" xfId="0" applyFont="1" applyFill="1" applyBorder="1" applyAlignment="1">
      <alignment horizontal="center"/>
    </xf>
    <xf numFmtId="0" fontId="16" fillId="2" borderId="5" xfId="0" applyFont="1" applyFill="1" applyBorder="1" applyAlignment="1">
      <alignment horizontal="center" wrapText="1"/>
    </xf>
    <xf numFmtId="0" fontId="16" fillId="2" borderId="6" xfId="0" applyFont="1" applyFill="1" applyBorder="1" applyAlignment="1">
      <alignment horizontal="center" wrapText="1"/>
    </xf>
    <xf numFmtId="0" fontId="10" fillId="5" borderId="11" xfId="0" applyFont="1" applyFill="1" applyBorder="1" applyAlignment="1">
      <alignment horizontal="center"/>
    </xf>
    <xf numFmtId="0" fontId="11" fillId="5" borderId="5" xfId="0" applyFont="1" applyFill="1" applyBorder="1" applyAlignment="1">
      <alignment horizontal="center"/>
    </xf>
    <xf numFmtId="0" fontId="11" fillId="5" borderId="8" xfId="0" applyFont="1" applyFill="1" applyBorder="1" applyAlignment="1">
      <alignment horizontal="center"/>
    </xf>
    <xf numFmtId="0" fontId="10" fillId="5" borderId="0" xfId="0" applyFont="1" applyFill="1" applyAlignment="1">
      <alignment horizontal="center"/>
    </xf>
    <xf numFmtId="0" fontId="11" fillId="5" borderId="0" xfId="0" applyFont="1" applyFill="1" applyAlignment="1">
      <alignment horizont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2"/>
  <sheetViews>
    <sheetView view="pageLayout" zoomScaleNormal="100" workbookViewId="0">
      <selection activeCell="A27" sqref="A27:F27"/>
    </sheetView>
  </sheetViews>
  <sheetFormatPr defaultColWidth="9.140625" defaultRowHeight="11.25" x14ac:dyDescent="0.2"/>
  <cols>
    <col min="1" max="1" width="31.85546875" style="1" customWidth="1"/>
    <col min="2" max="2" width="52.85546875" style="1" bestFit="1" customWidth="1"/>
    <col min="3" max="3" width="13.140625" style="1" bestFit="1" customWidth="1"/>
    <col min="4" max="4" width="13.28515625" style="1" bestFit="1" customWidth="1"/>
    <col min="5" max="5" width="12.85546875" style="1" customWidth="1"/>
    <col min="6" max="6" width="16.5703125" style="1" customWidth="1"/>
    <col min="7" max="8" width="9.140625" style="1"/>
    <col min="9" max="9" width="8.7109375" style="1" customWidth="1"/>
    <col min="10" max="16384" width="9.140625" style="1"/>
  </cols>
  <sheetData>
    <row r="1" spans="1:10" ht="18" x14ac:dyDescent="0.25">
      <c r="A1" s="93" t="s">
        <v>88</v>
      </c>
      <c r="B1" s="93"/>
      <c r="C1" s="93"/>
      <c r="D1" s="93"/>
      <c r="E1" s="93"/>
      <c r="F1" s="93"/>
      <c r="J1" s="2"/>
    </row>
    <row r="2" spans="1:10" x14ac:dyDescent="0.2">
      <c r="E2" s="10" t="s">
        <v>39</v>
      </c>
      <c r="F2" s="10" t="s">
        <v>40</v>
      </c>
      <c r="J2" s="2"/>
    </row>
    <row r="3" spans="1:10" ht="12.75" x14ac:dyDescent="0.2">
      <c r="A3" s="60" t="str">
        <f>"UI Standard Service RFP "&amp;B4&amp;", Bidding Workbook"</f>
        <v>UI Standard Service RFP 072026, Bidding Workbook</v>
      </c>
      <c r="D3" s="1" t="s">
        <v>29</v>
      </c>
      <c r="E3" s="20" t="s">
        <v>31</v>
      </c>
      <c r="F3" s="20">
        <v>2027</v>
      </c>
    </row>
    <row r="4" spans="1:10" x14ac:dyDescent="0.2">
      <c r="A4" s="1" t="s">
        <v>38</v>
      </c>
      <c r="B4" s="72" t="s">
        <v>87</v>
      </c>
      <c r="D4" s="1" t="s">
        <v>30</v>
      </c>
      <c r="E4" s="20" t="s">
        <v>32</v>
      </c>
      <c r="F4" s="20">
        <v>2027</v>
      </c>
    </row>
    <row r="5" spans="1:10" x14ac:dyDescent="0.2">
      <c r="D5" s="20"/>
      <c r="E5" s="20"/>
    </row>
    <row r="6" spans="1:10" x14ac:dyDescent="0.2">
      <c r="A6" s="21" t="s">
        <v>0</v>
      </c>
      <c r="B6" s="21" t="s">
        <v>1</v>
      </c>
      <c r="C6" s="21" t="s">
        <v>63</v>
      </c>
      <c r="D6" s="21" t="s">
        <v>72</v>
      </c>
      <c r="E6" s="21" t="s">
        <v>2</v>
      </c>
      <c r="F6" s="21" t="s">
        <v>3</v>
      </c>
    </row>
    <row r="7" spans="1:10" x14ac:dyDescent="0.2">
      <c r="A7" s="24" t="s">
        <v>64</v>
      </c>
      <c r="B7" s="25" t="str">
        <f>IF($E$3="1H","January 1, "&amp;$F$3&amp;" through June 30, "&amp;$F$3&amp;" - 10% of the SS TOTAL load","July 1, "&amp;$F$3&amp;" through December 31, "&amp;$F$3&amp;" - 10% of the SS TOTAL load")</f>
        <v>January 1, 2027 through June 30, 2027 - 10% of the SS TOTAL load</v>
      </c>
      <c r="C7" s="56">
        <f>'Tranche 1'!C32</f>
        <v>0</v>
      </c>
      <c r="D7" s="56">
        <f>'Tranche 1'!C33</f>
        <v>0</v>
      </c>
      <c r="E7" s="56">
        <f>'Tranche 1'!C34</f>
        <v>0</v>
      </c>
      <c r="F7" s="56">
        <f>'Tranche 1'!B34</f>
        <v>0</v>
      </c>
    </row>
    <row r="8" spans="1:10" x14ac:dyDescent="0.2">
      <c r="A8" s="24" t="s">
        <v>4</v>
      </c>
      <c r="B8" s="25" t="str">
        <f>IF($E$3="1H","January 1, "&amp;$F$3&amp;" through June 30, "&amp;$F$3&amp;" - 10% of the SS TOTAL load","July 1, "&amp;$F$3&amp;" through December 31, "&amp;$F$3&amp;" - 10% of the SS TOTAL load")</f>
        <v>January 1, 2027 through June 30, 2027 - 10% of the SS TOTAL load</v>
      </c>
      <c r="C8" s="56">
        <f>'Tranche 2'!C32</f>
        <v>0</v>
      </c>
      <c r="D8" s="56">
        <f>'Tranche 2'!C33</f>
        <v>0</v>
      </c>
      <c r="E8" s="56">
        <f>'Tranche 2'!C34</f>
        <v>0</v>
      </c>
      <c r="F8" s="56">
        <f>'Tranche 2'!B34</f>
        <v>0</v>
      </c>
    </row>
    <row r="9" spans="1:10" x14ac:dyDescent="0.2">
      <c r="A9" s="73" t="s">
        <v>5</v>
      </c>
      <c r="B9" s="74" t="str">
        <f>IF($E$3="1H","January 1, "&amp;$F$3&amp;" through June 30, "&amp;$F$3&amp;" - 10% of the SS TOTAL load","July 1, "&amp;$F$3&amp;" through December 31, "&amp;$F$3&amp;" - 10% of the SS TOTAL load")</f>
        <v>January 1, 2027 through June 30, 2027 - 10% of the SS TOTAL load</v>
      </c>
      <c r="C9" s="61">
        <f>'Tranche 3'!C32</f>
        <v>0</v>
      </c>
      <c r="D9" s="61">
        <f>'Tranche 3'!C33</f>
        <v>0</v>
      </c>
      <c r="E9" s="61">
        <f>'Tranche 3'!C34</f>
        <v>0</v>
      </c>
      <c r="F9" s="61">
        <f>'Tranche 3'!B34</f>
        <v>0</v>
      </c>
    </row>
    <row r="10" spans="1:10" x14ac:dyDescent="0.2">
      <c r="A10" s="73" t="s">
        <v>37</v>
      </c>
      <c r="B10" s="74" t="str">
        <f>IF($E$3="1H","January 1, "&amp;$F$3&amp;" through June 30, "&amp;$F$3&amp;" - 10% of the SS TOTAL load","July 1, "&amp;$F$3&amp;" through December 31, "&amp;$F$3&amp;" - 10% of the SS TOTAL load")</f>
        <v>January 1, 2027 through June 30, 2027 - 10% of the SS TOTAL load</v>
      </c>
      <c r="C10" s="61">
        <f>'Tranche 4'!C32</f>
        <v>0</v>
      </c>
      <c r="D10" s="61">
        <f>'Tranche 4'!C33</f>
        <v>0</v>
      </c>
      <c r="E10" s="61">
        <f>'Tranche 4'!C34</f>
        <v>0</v>
      </c>
      <c r="F10" s="61">
        <f>'Tranche 4'!B34</f>
        <v>0</v>
      </c>
    </row>
    <row r="11" spans="1:10" x14ac:dyDescent="0.2">
      <c r="A11" s="24" t="s">
        <v>6</v>
      </c>
      <c r="B11" s="25" t="str">
        <f>IF($E$4="1H","January 1, "&amp;$F$4&amp;" through June 30, "&amp;$F$4&amp;" - 10% of the SS TOTAL load","July 1, "&amp;$F$4&amp;" through December 31, "&amp;$F$4&amp;" - 10% of the SS TOTAL load")</f>
        <v>July 1, 2027 through December 31, 2027 - 10% of the SS TOTAL load</v>
      </c>
      <c r="C11" s="56">
        <f>'Tranche 5'!C32</f>
        <v>0</v>
      </c>
      <c r="D11" s="56">
        <f>'Tranche 5'!C33</f>
        <v>0</v>
      </c>
      <c r="E11" s="56">
        <f>'Tranche 5'!C34</f>
        <v>0</v>
      </c>
      <c r="F11" s="56">
        <f>'Tranche 5'!B34</f>
        <v>0</v>
      </c>
    </row>
    <row r="12" spans="1:10" x14ac:dyDescent="0.2">
      <c r="A12" s="24" t="s">
        <v>7</v>
      </c>
      <c r="B12" s="25" t="str">
        <f>IF($E$4="1H","January 1, "&amp;$F$4&amp;" through June 30, "&amp;$F$4&amp;" - 10% of the SS TOTAL load","July 1, "&amp;$F$4&amp;" through December 31, "&amp;$F$4&amp;" - 10% of the SS TOTAL load")</f>
        <v>July 1, 2027 through December 31, 2027 - 10% of the SS TOTAL load</v>
      </c>
      <c r="C12" s="56">
        <f>'Tranche 6'!C32</f>
        <v>0</v>
      </c>
      <c r="D12" s="56">
        <f>'Tranche 6'!C33</f>
        <v>0</v>
      </c>
      <c r="E12" s="56">
        <f>'Tranche 6'!C34</f>
        <v>0</v>
      </c>
      <c r="F12" s="56">
        <f>'Tranche 6'!B34</f>
        <v>0</v>
      </c>
    </row>
    <row r="13" spans="1:10" x14ac:dyDescent="0.2">
      <c r="A13" s="24" t="s">
        <v>8</v>
      </c>
      <c r="B13" s="25" t="str">
        <f>IF($E$4="1H","January 1, "&amp;$F$4&amp;" through June 30, "&amp;$F$4&amp;" - 10% of the SS TOTAL load","July 1, "&amp;$F$4&amp;" through December 31, "&amp;$F$4&amp;" - 10% of the SS TOTAL load")</f>
        <v>July 1, 2027 through December 31, 2027 - 10% of the SS TOTAL load</v>
      </c>
      <c r="C13" s="56">
        <f>'Tranche 7'!C32</f>
        <v>0</v>
      </c>
      <c r="D13" s="56">
        <f>'Tranche 7'!C33</f>
        <v>0</v>
      </c>
      <c r="E13" s="56">
        <f>'Tranche 7'!C34</f>
        <v>0</v>
      </c>
      <c r="F13" s="56">
        <f>'Tranche 7'!B34</f>
        <v>0</v>
      </c>
    </row>
    <row r="14" spans="1:10" x14ac:dyDescent="0.2">
      <c r="A14" s="24" t="s">
        <v>36</v>
      </c>
      <c r="B14" s="25" t="str">
        <f>IF($E$4="1H","January 1, "&amp;$F$4&amp;" through June 30, "&amp;$F$4&amp;" - 10% of the SS TOTAL load","July 1, "&amp;$F$4&amp;" through December 31, "&amp;$F$4&amp;" - 10% of the SS TOTAL load")</f>
        <v>July 1, 2027 through December 31, 2027 - 10% of the SS TOTAL load</v>
      </c>
      <c r="C14" s="56">
        <f>'Tranche 8'!C32</f>
        <v>0</v>
      </c>
      <c r="D14" s="56">
        <f>'Tranche 8'!C33</f>
        <v>0</v>
      </c>
      <c r="E14" s="56">
        <f>'Tranche 8'!C34</f>
        <v>0</v>
      </c>
      <c r="F14" s="56">
        <f>'Tranche 8'!B34</f>
        <v>0</v>
      </c>
    </row>
    <row r="15" spans="1:10" x14ac:dyDescent="0.2">
      <c r="A15" s="95" t="s">
        <v>9</v>
      </c>
      <c r="B15" s="95"/>
      <c r="C15" s="95"/>
      <c r="D15" s="95"/>
      <c r="E15" s="95"/>
      <c r="F15" s="57">
        <f>SUM(F7:F14)</f>
        <v>0</v>
      </c>
    </row>
    <row r="17" spans="1:6" ht="12.75" x14ac:dyDescent="0.2">
      <c r="A17" s="94" t="s">
        <v>10</v>
      </c>
      <c r="B17" s="94"/>
      <c r="C17" s="94"/>
      <c r="D17" s="94"/>
      <c r="E17" s="94"/>
      <c r="F17" s="94"/>
    </row>
    <row r="18" spans="1:6" ht="18" customHeight="1" x14ac:dyDescent="0.2">
      <c r="A18" s="77" t="s">
        <v>11</v>
      </c>
      <c r="B18" s="77"/>
      <c r="C18" s="77"/>
      <c r="D18" s="77"/>
      <c r="E18" s="77"/>
      <c r="F18" s="77"/>
    </row>
    <row r="19" spans="1:6" ht="12.75" x14ac:dyDescent="0.2">
      <c r="A19" s="78" t="s">
        <v>86</v>
      </c>
      <c r="B19" s="79"/>
      <c r="C19" s="79"/>
      <c r="D19" s="79"/>
      <c r="E19" s="79"/>
      <c r="F19" s="80"/>
    </row>
    <row r="20" spans="1:6" ht="12.75" customHeight="1" x14ac:dyDescent="0.2">
      <c r="A20" s="66" t="s">
        <v>73</v>
      </c>
      <c r="B20" s="87" t="str">
        <f t="array" aca="1" ref="B20" ca="1">MID(CELL("filename"),FIND("[",CELL("filename"))+1,FIND("]",CELL("filename"))-FIND("[",CELL("filename"))-1)</f>
        <v>SAMPLE SS BIDDER WORKBOOK 07222026.xlsx</v>
      </c>
      <c r="C20" s="88"/>
      <c r="D20" s="88"/>
      <c r="E20" s="88"/>
      <c r="F20" s="89"/>
    </row>
    <row r="21" spans="1:6" ht="15" x14ac:dyDescent="0.25">
      <c r="A21"/>
      <c r="B21"/>
      <c r="C21"/>
      <c r="D21"/>
      <c r="E21"/>
      <c r="F21"/>
    </row>
    <row r="22" spans="1:6" ht="15.75" x14ac:dyDescent="0.25">
      <c r="A22" s="84" t="s">
        <v>12</v>
      </c>
      <c r="B22" s="85"/>
      <c r="C22" s="85"/>
      <c r="D22" s="85"/>
      <c r="E22" s="85"/>
      <c r="F22" s="86"/>
    </row>
    <row r="23" spans="1:6" ht="25.5" customHeight="1" x14ac:dyDescent="0.2">
      <c r="A23" s="81" t="s">
        <v>65</v>
      </c>
      <c r="B23" s="82"/>
      <c r="C23" s="82"/>
      <c r="D23" s="82"/>
      <c r="E23" s="82"/>
      <c r="F23" s="83"/>
    </row>
    <row r="24" spans="1:6" ht="12.75" x14ac:dyDescent="0.2">
      <c r="A24" s="81" t="s">
        <v>33</v>
      </c>
      <c r="B24" s="82"/>
      <c r="C24" s="82"/>
      <c r="D24" s="82"/>
      <c r="E24" s="82"/>
      <c r="F24" s="83"/>
    </row>
    <row r="25" spans="1:6" ht="25.5" customHeight="1" x14ac:dyDescent="0.2">
      <c r="A25" s="81" t="s">
        <v>34</v>
      </c>
      <c r="B25" s="82"/>
      <c r="C25" s="82"/>
      <c r="D25" s="82"/>
      <c r="E25" s="82"/>
      <c r="F25" s="83"/>
    </row>
    <row r="26" spans="1:6" ht="25.5" customHeight="1" x14ac:dyDescent="0.2">
      <c r="A26" s="81" t="s">
        <v>35</v>
      </c>
      <c r="B26" s="82"/>
      <c r="C26" s="82"/>
      <c r="D26" s="82"/>
      <c r="E26" s="82"/>
      <c r="F26" s="83"/>
    </row>
    <row r="27" spans="1:6" ht="25.5" customHeight="1" x14ac:dyDescent="0.25">
      <c r="A27" s="81" t="s">
        <v>89</v>
      </c>
      <c r="B27" s="82"/>
      <c r="C27" s="96"/>
      <c r="D27" s="96"/>
      <c r="E27" s="96"/>
      <c r="F27" s="97"/>
    </row>
    <row r="28" spans="1:6" ht="12.75" x14ac:dyDescent="0.2">
      <c r="A28" s="90" t="s">
        <v>84</v>
      </c>
      <c r="B28" s="91"/>
      <c r="C28" s="91"/>
      <c r="D28" s="91"/>
      <c r="E28" s="91"/>
      <c r="F28" s="92"/>
    </row>
    <row r="29" spans="1:6" ht="25.5" customHeight="1" x14ac:dyDescent="0.2">
      <c r="A29" s="90" t="s">
        <v>85</v>
      </c>
      <c r="B29" s="91"/>
      <c r="C29" s="91"/>
      <c r="D29" s="91"/>
      <c r="E29" s="91"/>
      <c r="F29" s="92"/>
    </row>
    <row r="30" spans="1:6" ht="15" x14ac:dyDescent="0.25">
      <c r="A30" s="75"/>
      <c r="B30" s="76"/>
      <c r="C30" s="76"/>
      <c r="D30" s="76"/>
    </row>
    <row r="31" spans="1:6" ht="12.75" x14ac:dyDescent="0.2">
      <c r="A31" s="5"/>
    </row>
    <row r="32" spans="1:6" ht="12.75" x14ac:dyDescent="0.2">
      <c r="A32" s="5"/>
    </row>
    <row r="33" spans="1:4" ht="12.75" x14ac:dyDescent="0.2">
      <c r="A33" s="5"/>
    </row>
    <row r="34" spans="1:4" ht="12.75" x14ac:dyDescent="0.2">
      <c r="A34" s="5"/>
    </row>
    <row r="36" spans="1:4" ht="12.75" x14ac:dyDescent="0.2">
      <c r="A36" s="5"/>
    </row>
    <row r="37" spans="1:4" ht="12.75" x14ac:dyDescent="0.2">
      <c r="A37" s="5"/>
    </row>
    <row r="38" spans="1:4" ht="12.75" x14ac:dyDescent="0.2">
      <c r="A38" s="6"/>
    </row>
    <row r="40" spans="1:4" x14ac:dyDescent="0.2">
      <c r="A40" s="7"/>
      <c r="D40" s="7"/>
    </row>
    <row r="41" spans="1:4" x14ac:dyDescent="0.2">
      <c r="A41" s="8"/>
    </row>
    <row r="42" spans="1:4" x14ac:dyDescent="0.2">
      <c r="A42" s="8"/>
    </row>
  </sheetData>
  <sheetProtection algorithmName="SHA-512" hashValue="T8euuxIsMnUDOezyNlKMdhW/QLqyTyAmf4uNXl1Lx5qPRK/4NQnSKDCtR5JDsbVyD3sOUMCCVKC4wb/EWJTIww==" saltValue="Fve8tEaVPBvGE8xPAF1yqw==" spinCount="100000" sheet="1" objects="1" scenarios="1"/>
  <protectedRanges>
    <protectedRange sqref="A19:D20" name="Range1_1_1_1"/>
  </protectedRanges>
  <mergeCells count="15">
    <mergeCell ref="A1:F1"/>
    <mergeCell ref="A17:F17"/>
    <mergeCell ref="A15:E15"/>
    <mergeCell ref="A27:F27"/>
    <mergeCell ref="A28:F28"/>
    <mergeCell ref="A30:D30"/>
    <mergeCell ref="A18:F18"/>
    <mergeCell ref="A19:F19"/>
    <mergeCell ref="A23:F23"/>
    <mergeCell ref="A24:F24"/>
    <mergeCell ref="A25:F25"/>
    <mergeCell ref="A26:F26"/>
    <mergeCell ref="A22:F22"/>
    <mergeCell ref="B20:F20"/>
    <mergeCell ref="A29:F29"/>
  </mergeCells>
  <dataValidations disablePrompts="1" count="1">
    <dataValidation type="list" allowBlank="1" showInputMessage="1" showErrorMessage="1" sqref="D5 E3:E4" xr:uid="{00000000-0002-0000-0000-000000000000}">
      <formula1>"1H,2H"</formula1>
    </dataValidation>
  </dataValidations>
  <pageMargins left="0.7" right="0.7" top="0.75" bottom="0.75" header="0.3" footer="0.3"/>
  <pageSetup scale="87" orientation="landscape" r:id="rId1"/>
  <headerFooter>
    <oddHeader xml:space="preserve">&amp;L&amp;"Arial,Bold"&amp;10The United Illuminating Company
Docket No: 26-01-02
&amp;C&amp;"Arial,Bold"&amp;10CONFIDENTIAL
&amp;A&amp;R&amp;"Arial,Bold"&amp;10UI Attachment 2a
Page 1 of 12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36"/>
  <sheetViews>
    <sheetView view="pageLayout" zoomScale="80" zoomScaleNormal="100" zoomScalePageLayoutView="80" workbookViewId="0">
      <selection activeCell="A27" sqref="A27:F27"/>
    </sheetView>
  </sheetViews>
  <sheetFormatPr defaultRowHeight="15" x14ac:dyDescent="0.25"/>
  <cols>
    <col min="1" max="1" width="21.42578125" style="35" customWidth="1"/>
    <col min="2" max="5" width="14.28515625" customWidth="1"/>
    <col min="6" max="8" width="13.42578125" customWidth="1"/>
    <col min="9" max="9" width="12.5703125" customWidth="1"/>
    <col min="10" max="12" width="17" customWidth="1"/>
    <col min="13" max="13" width="14.28515625" customWidth="1"/>
    <col min="14" max="14" width="17.5703125" customWidth="1"/>
  </cols>
  <sheetData>
    <row r="1" spans="1:14" ht="18" x14ac:dyDescent="0.25">
      <c r="A1" s="101" t="str">
        <f>'Instructions &amp; Summary'!A1</f>
        <v>CONFIDENTIAL UNTIL 10/20/2026</v>
      </c>
      <c r="B1" s="101"/>
      <c r="C1" s="101"/>
      <c r="D1" s="101"/>
      <c r="E1" s="101"/>
      <c r="F1" s="101"/>
      <c r="G1" s="101"/>
      <c r="H1" s="101"/>
      <c r="I1" s="101"/>
      <c r="J1" s="101"/>
      <c r="K1" s="101"/>
      <c r="L1" s="101"/>
      <c r="M1" s="101"/>
      <c r="N1" s="101"/>
    </row>
    <row r="3" spans="1:14" ht="15.75" x14ac:dyDescent="0.25">
      <c r="A3" s="34" t="s">
        <v>36</v>
      </c>
      <c r="B3" s="33" t="str">
        <f>VLOOKUP($A$3,'Instructions &amp; Summary'!$A$7:$B$14,2,FALSE)</f>
        <v>July 1, 2027 through December 31, 2027 - 10% of the SS TOTAL load</v>
      </c>
      <c r="C3" s="26"/>
      <c r="D3" s="26"/>
      <c r="E3" s="26"/>
      <c r="F3" s="26"/>
      <c r="G3" s="5"/>
    </row>
    <row r="4" spans="1:14" ht="15.75" x14ac:dyDescent="0.25">
      <c r="A4" s="34"/>
      <c r="B4" s="33"/>
      <c r="C4" s="26"/>
      <c r="D4" s="26"/>
      <c r="E4" s="26"/>
      <c r="F4" s="26"/>
      <c r="G4" s="5"/>
    </row>
    <row r="5" spans="1:14" x14ac:dyDescent="0.25">
      <c r="A5" s="108" t="s">
        <v>14</v>
      </c>
      <c r="B5" s="112" t="s">
        <v>50</v>
      </c>
      <c r="C5" s="112"/>
      <c r="D5" s="112"/>
      <c r="E5" s="112"/>
      <c r="F5" s="112" t="s">
        <v>51</v>
      </c>
      <c r="G5" s="112"/>
      <c r="H5" s="112"/>
      <c r="I5" s="112"/>
      <c r="J5" s="98" t="s">
        <v>52</v>
      </c>
      <c r="K5" s="99"/>
      <c r="L5" s="99"/>
      <c r="M5" s="99"/>
      <c r="N5" s="100"/>
    </row>
    <row r="6" spans="1:14" s="27" customFormat="1" ht="12.75" x14ac:dyDescent="0.2">
      <c r="A6" s="108"/>
      <c r="B6" s="71" t="s">
        <v>41</v>
      </c>
      <c r="C6" s="71" t="s">
        <v>42</v>
      </c>
      <c r="D6" s="71" t="s">
        <v>15</v>
      </c>
      <c r="E6" s="71" t="s">
        <v>43</v>
      </c>
      <c r="F6" s="71" t="s">
        <v>41</v>
      </c>
      <c r="G6" s="71" t="s">
        <v>42</v>
      </c>
      <c r="H6" s="71" t="s">
        <v>15</v>
      </c>
      <c r="I6" s="71" t="s">
        <v>43</v>
      </c>
      <c r="J6" s="71" t="s">
        <v>41</v>
      </c>
      <c r="K6" s="71" t="s">
        <v>42</v>
      </c>
      <c r="L6" s="71" t="s">
        <v>15</v>
      </c>
      <c r="M6" s="71" t="s">
        <v>43</v>
      </c>
      <c r="N6" s="44" t="s">
        <v>9</v>
      </c>
    </row>
    <row r="7" spans="1:14" s="27" customFormat="1" ht="12.75" x14ac:dyDescent="0.2">
      <c r="A7" s="36" t="str">
        <f>IF('Instructions &amp; Summary'!$E$4="1H","January","July")</f>
        <v>July</v>
      </c>
      <c r="B7" s="41">
        <f>VLOOKUP($A7,'Bidding Load'!$A$5:$E$16,MATCH(B$6,'Bidding Load'!$A$4:$E$4,0),FALSE)</f>
        <v>17019</v>
      </c>
      <c r="C7" s="41">
        <f>VLOOKUP($A7,'Bidding Load'!$A$5:$E$16,MATCH(C$6,'Bidding Load'!$A$4:$E$4,0),FALSE)</f>
        <v>2387</v>
      </c>
      <c r="D7" s="41">
        <f>VLOOKUP($A7,'Bidding Load'!$A$5:$E$16,MATCH(D$6,'Bidding Load'!$A$4:$E$4,0),FALSE)</f>
        <v>63150</v>
      </c>
      <c r="E7" s="41">
        <f>VLOOKUP($A7,'Bidding Load'!$A$5:$E$16,MATCH(E$6,'Bidding Load'!$A$4:$E$4,0),FALSE)</f>
        <v>0</v>
      </c>
      <c r="F7" s="54"/>
      <c r="G7" s="54"/>
      <c r="H7" s="54"/>
      <c r="I7" s="59" t="s">
        <v>44</v>
      </c>
      <c r="J7" s="56">
        <f t="shared" ref="J7:J12" si="0">ROUND(F7,2)*B7</f>
        <v>0</v>
      </c>
      <c r="K7" s="56">
        <f t="shared" ref="K7:L12" si="1">ROUND(G7,2)*C7</f>
        <v>0</v>
      </c>
      <c r="L7" s="56">
        <f t="shared" si="1"/>
        <v>0</v>
      </c>
      <c r="M7" s="40" t="s">
        <v>44</v>
      </c>
      <c r="N7" s="56">
        <f t="shared" ref="N7:N12" si="2">SUM(J7:L7)</f>
        <v>0</v>
      </c>
    </row>
    <row r="8" spans="1:14" s="27" customFormat="1" ht="12.75" x14ac:dyDescent="0.2">
      <c r="A8" s="36" t="str">
        <f>IF('Instructions &amp; Summary'!$E$4="1H","February","August")</f>
        <v>August</v>
      </c>
      <c r="B8" s="41">
        <f>VLOOKUP($A8,'Bidding Load'!$A$5:$E$16,MATCH(B$6,'Bidding Load'!$A$4:$E$4,0),FALSE)</f>
        <v>13107</v>
      </c>
      <c r="C8" s="41">
        <f>VLOOKUP($A8,'Bidding Load'!$A$5:$E$16,MATCH(C$6,'Bidding Load'!$A$4:$E$4,0),FALSE)</f>
        <v>1943</v>
      </c>
      <c r="D8" s="41">
        <f>VLOOKUP($A8,'Bidding Load'!$A$5:$E$16,MATCH(D$6,'Bidding Load'!$A$4:$E$4,0),FALSE)</f>
        <v>45464</v>
      </c>
      <c r="E8" s="41">
        <f>VLOOKUP($A8,'Bidding Load'!$A$5:$E$16,MATCH(E$6,'Bidding Load'!$A$4:$E$4,0),FALSE)</f>
        <v>0</v>
      </c>
      <c r="F8" s="54"/>
      <c r="G8" s="54"/>
      <c r="H8" s="54"/>
      <c r="I8" s="59" t="s">
        <v>44</v>
      </c>
      <c r="J8" s="56">
        <f t="shared" si="0"/>
        <v>0</v>
      </c>
      <c r="K8" s="56">
        <f t="shared" si="1"/>
        <v>0</v>
      </c>
      <c r="L8" s="56">
        <f t="shared" si="1"/>
        <v>0</v>
      </c>
      <c r="M8" s="40" t="s">
        <v>44</v>
      </c>
      <c r="N8" s="56">
        <f t="shared" si="2"/>
        <v>0</v>
      </c>
    </row>
    <row r="9" spans="1:14" s="27" customFormat="1" ht="12.75" x14ac:dyDescent="0.2">
      <c r="A9" s="36" t="str">
        <f>IF('Instructions &amp; Summary'!$E$4="1H","March","September")</f>
        <v>September</v>
      </c>
      <c r="B9" s="41">
        <f>VLOOKUP($A9,'Bidding Load'!$A$5:$E$16,MATCH(B$6,'Bidding Load'!$A$4:$E$4,0),FALSE)</f>
        <v>12516</v>
      </c>
      <c r="C9" s="41">
        <f>VLOOKUP($A9,'Bidding Load'!$A$5:$E$16,MATCH(C$6,'Bidding Load'!$A$4:$E$4,0),FALSE)</f>
        <v>1886</v>
      </c>
      <c r="D9" s="41">
        <f>VLOOKUP($A9,'Bidding Load'!$A$5:$E$16,MATCH(D$6,'Bidding Load'!$A$4:$E$4,0),FALSE)</f>
        <v>35046</v>
      </c>
      <c r="E9" s="41">
        <f>VLOOKUP($A9,'Bidding Load'!$A$5:$E$16,MATCH(E$6,'Bidding Load'!$A$4:$E$4,0),FALSE)</f>
        <v>0</v>
      </c>
      <c r="F9" s="54"/>
      <c r="G9" s="54"/>
      <c r="H9" s="54"/>
      <c r="I9" s="59" t="s">
        <v>44</v>
      </c>
      <c r="J9" s="56">
        <f t="shared" si="0"/>
        <v>0</v>
      </c>
      <c r="K9" s="56">
        <f t="shared" si="1"/>
        <v>0</v>
      </c>
      <c r="L9" s="56">
        <f t="shared" si="1"/>
        <v>0</v>
      </c>
      <c r="M9" s="40" t="s">
        <v>44</v>
      </c>
      <c r="N9" s="56">
        <f t="shared" si="2"/>
        <v>0</v>
      </c>
    </row>
    <row r="10" spans="1:14" s="27" customFormat="1" ht="12.75" x14ac:dyDescent="0.2">
      <c r="A10" s="36" t="str">
        <f>IF('Instructions &amp; Summary'!$E$4="1H","April","October")</f>
        <v>October</v>
      </c>
      <c r="B10" s="41">
        <f>VLOOKUP($A10,'Bidding Load'!$A$5:$E$16,MATCH(B$6,'Bidding Load'!$A$4:$E$4,0),FALSE)</f>
        <v>11946</v>
      </c>
      <c r="C10" s="41">
        <f>VLOOKUP($A10,'Bidding Load'!$A$5:$E$16,MATCH(C$6,'Bidding Load'!$A$4:$E$4,0),FALSE)</f>
        <v>2027</v>
      </c>
      <c r="D10" s="41">
        <f>VLOOKUP($A10,'Bidding Load'!$A$5:$E$16,MATCH(D$6,'Bidding Load'!$A$4:$E$4,0),FALSE)</f>
        <v>26925</v>
      </c>
      <c r="E10" s="41">
        <f>VLOOKUP($A10,'Bidding Load'!$A$5:$E$16,MATCH(E$6,'Bidding Load'!$A$4:$E$4,0),FALSE)</f>
        <v>0</v>
      </c>
      <c r="F10" s="54"/>
      <c r="G10" s="54"/>
      <c r="H10" s="54"/>
      <c r="I10" s="59" t="s">
        <v>44</v>
      </c>
      <c r="J10" s="56">
        <f t="shared" si="0"/>
        <v>0</v>
      </c>
      <c r="K10" s="56">
        <f t="shared" si="1"/>
        <v>0</v>
      </c>
      <c r="L10" s="56">
        <f t="shared" si="1"/>
        <v>0</v>
      </c>
      <c r="M10" s="40" t="s">
        <v>44</v>
      </c>
      <c r="N10" s="56">
        <f t="shared" si="2"/>
        <v>0</v>
      </c>
    </row>
    <row r="11" spans="1:14" s="27" customFormat="1" ht="12.75" x14ac:dyDescent="0.2">
      <c r="A11" s="36" t="str">
        <f>IF('Instructions &amp; Summary'!$E$4="1H","May","November")</f>
        <v>November</v>
      </c>
      <c r="B11" s="41">
        <f>VLOOKUP($A11,'Bidding Load'!$A$5:$E$16,MATCH(B$6,'Bidding Load'!$A$4:$E$4,0),FALSE)</f>
        <v>10527</v>
      </c>
      <c r="C11" s="41">
        <f>VLOOKUP($A11,'Bidding Load'!$A$5:$E$16,MATCH(C$6,'Bidding Load'!$A$4:$E$4,0),FALSE)</f>
        <v>1853</v>
      </c>
      <c r="D11" s="41">
        <f>VLOOKUP($A11,'Bidding Load'!$A$5:$E$16,MATCH(D$6,'Bidding Load'!$A$4:$E$4,0),FALSE)</f>
        <v>28447</v>
      </c>
      <c r="E11" s="41">
        <f>VLOOKUP($A11,'Bidding Load'!$A$5:$E$16,MATCH(E$6,'Bidding Load'!$A$4:$E$4,0),FALSE)</f>
        <v>0</v>
      </c>
      <c r="F11" s="54"/>
      <c r="G11" s="54"/>
      <c r="H11" s="54"/>
      <c r="I11" s="59" t="s">
        <v>44</v>
      </c>
      <c r="J11" s="56">
        <f t="shared" si="0"/>
        <v>0</v>
      </c>
      <c r="K11" s="56">
        <f t="shared" si="1"/>
        <v>0</v>
      </c>
      <c r="L11" s="56">
        <f t="shared" si="1"/>
        <v>0</v>
      </c>
      <c r="M11" s="40" t="s">
        <v>44</v>
      </c>
      <c r="N11" s="56">
        <f t="shared" si="2"/>
        <v>0</v>
      </c>
    </row>
    <row r="12" spans="1:14" s="27" customFormat="1" ht="12.75" x14ac:dyDescent="0.2">
      <c r="A12" s="36" t="str">
        <f>IF('Instructions &amp; Summary'!$E$4="1H","June","December")</f>
        <v>December</v>
      </c>
      <c r="B12" s="41">
        <f>VLOOKUP($A12,'Bidding Load'!$A$5:$E$16,MATCH(B$6,'Bidding Load'!$A$4:$E$4,0),FALSE)</f>
        <v>12418</v>
      </c>
      <c r="C12" s="41">
        <f>VLOOKUP($A12,'Bidding Load'!$A$5:$E$16,MATCH(C$6,'Bidding Load'!$A$4:$E$4,0),FALSE)</f>
        <v>1850</v>
      </c>
      <c r="D12" s="41">
        <f>VLOOKUP($A12,'Bidding Load'!$A$5:$E$16,MATCH(D$6,'Bidding Load'!$A$4:$E$4,0),FALSE)</f>
        <v>43306</v>
      </c>
      <c r="E12" s="41">
        <f>VLOOKUP($A12,'Bidding Load'!$A$5:$E$16,MATCH(E$6,'Bidding Load'!$A$4:$E$4,0),FALSE)</f>
        <v>0</v>
      </c>
      <c r="F12" s="54"/>
      <c r="G12" s="54"/>
      <c r="H12" s="54"/>
      <c r="I12" s="59" t="s">
        <v>44</v>
      </c>
      <c r="J12" s="56">
        <f t="shared" si="0"/>
        <v>0</v>
      </c>
      <c r="K12" s="56">
        <f t="shared" si="1"/>
        <v>0</v>
      </c>
      <c r="L12" s="56">
        <f t="shared" si="1"/>
        <v>0</v>
      </c>
      <c r="M12" s="40" t="s">
        <v>44</v>
      </c>
      <c r="N12" s="56">
        <f t="shared" si="2"/>
        <v>0</v>
      </c>
    </row>
    <row r="13" spans="1:14" x14ac:dyDescent="0.25">
      <c r="A13" s="39" t="s">
        <v>45</v>
      </c>
      <c r="B13" s="42">
        <f>SUM(B7:B12)</f>
        <v>77533</v>
      </c>
      <c r="C13" s="42">
        <f>SUM(C7:C12)</f>
        <v>11946</v>
      </c>
      <c r="D13" s="42">
        <f>SUM(D7:D12)</f>
        <v>242338</v>
      </c>
      <c r="E13" s="42">
        <f>SUM(E7:E12)</f>
        <v>0</v>
      </c>
      <c r="F13" s="37" t="s">
        <v>44</v>
      </c>
      <c r="G13" s="37" t="s">
        <v>44</v>
      </c>
      <c r="H13" s="37" t="s">
        <v>44</v>
      </c>
      <c r="I13" s="37" t="s">
        <v>44</v>
      </c>
      <c r="J13" s="58">
        <f>SUM(J7:J12)</f>
        <v>0</v>
      </c>
      <c r="K13" s="58">
        <f>SUM(K7:K12)</f>
        <v>0</v>
      </c>
      <c r="L13" s="58">
        <f>SUM(L7:L12)</f>
        <v>0</v>
      </c>
      <c r="M13" s="37" t="s">
        <v>44</v>
      </c>
      <c r="N13" s="58">
        <f>SUM(N7:N12)</f>
        <v>0</v>
      </c>
    </row>
    <row r="15" spans="1:14" x14ac:dyDescent="0.25">
      <c r="A15" s="39" t="s">
        <v>56</v>
      </c>
      <c r="B15" s="43">
        <f>SUM(B13:E13)</f>
        <v>331817</v>
      </c>
    </row>
    <row r="16" spans="1:14" x14ac:dyDescent="0.25">
      <c r="G16" s="5"/>
    </row>
    <row r="17" spans="1:256" x14ac:dyDescent="0.25">
      <c r="A17" s="108" t="s">
        <v>14</v>
      </c>
      <c r="B17" s="112" t="s">
        <v>53</v>
      </c>
      <c r="C17" s="112"/>
      <c r="D17" s="112"/>
      <c r="E17" s="112"/>
      <c r="F17" s="112" t="s">
        <v>54</v>
      </c>
      <c r="G17" s="112"/>
      <c r="H17" s="112"/>
      <c r="I17" s="112"/>
      <c r="J17" s="98" t="s">
        <v>55</v>
      </c>
      <c r="K17" s="99"/>
      <c r="L17" s="99"/>
      <c r="M17" s="99"/>
      <c r="N17" s="100"/>
    </row>
    <row r="18" spans="1:256" s="27" customFormat="1" ht="12.75" x14ac:dyDescent="0.2">
      <c r="A18" s="108"/>
      <c r="B18" s="71" t="s">
        <v>41</v>
      </c>
      <c r="C18" s="71" t="s">
        <v>42</v>
      </c>
      <c r="D18" s="71" t="s">
        <v>15</v>
      </c>
      <c r="E18" s="71" t="s">
        <v>43</v>
      </c>
      <c r="F18" s="71" t="s">
        <v>41</v>
      </c>
      <c r="G18" s="71" t="s">
        <v>42</v>
      </c>
      <c r="H18" s="71" t="s">
        <v>15</v>
      </c>
      <c r="I18" s="71" t="s">
        <v>43</v>
      </c>
      <c r="J18" s="71" t="s">
        <v>41</v>
      </c>
      <c r="K18" s="71" t="s">
        <v>42</v>
      </c>
      <c r="L18" s="71" t="s">
        <v>15</v>
      </c>
      <c r="M18" s="71" t="s">
        <v>43</v>
      </c>
      <c r="N18" s="44" t="s">
        <v>9</v>
      </c>
    </row>
    <row r="19" spans="1:256" s="27" customFormat="1" ht="12.75" x14ac:dyDescent="0.2">
      <c r="A19" s="36" t="str">
        <f>IF('Instructions &amp; Summary'!$E$4="1H","January","July")</f>
        <v>July</v>
      </c>
      <c r="B19" s="41">
        <f>VLOOKUP($A19,'Bidding Load'!$A$21:$E$32,MATCH(B$18,'Bidding Load'!$A$20:$E$20,0),FALSE)</f>
        <v>32078</v>
      </c>
      <c r="C19" s="41">
        <f>VLOOKUP($A19,'Bidding Load'!$A$21:$E$32,MATCH(C$18,'Bidding Load'!$A$20:$E$20,0),FALSE)</f>
        <v>6426</v>
      </c>
      <c r="D19" s="41">
        <f>VLOOKUP($A19,'Bidding Load'!$A$21:$E$32,MATCH(D$18,'Bidding Load'!$A$20:$E$20,0),FALSE)</f>
        <v>141339</v>
      </c>
      <c r="E19" s="41">
        <f>VLOOKUP($A19,'Bidding Load'!$A$21:$E$32,MATCH(E$18,'Bidding Load'!$A$20:$E$20,0),FALSE)</f>
        <v>345</v>
      </c>
      <c r="F19" s="54"/>
      <c r="G19" s="54"/>
      <c r="H19" s="54"/>
      <c r="I19" s="54"/>
      <c r="J19" s="56">
        <f t="shared" ref="J19:J24" si="3">ROUND(F19,2)*B19</f>
        <v>0</v>
      </c>
      <c r="K19" s="56">
        <f t="shared" ref="K19:M24" si="4">ROUND(G19,2)*C19</f>
        <v>0</v>
      </c>
      <c r="L19" s="56">
        <f t="shared" si="4"/>
        <v>0</v>
      </c>
      <c r="M19" s="56">
        <f t="shared" si="4"/>
        <v>0</v>
      </c>
      <c r="N19" s="56">
        <f t="shared" ref="N19:N24" si="5">SUM(J19:M19)</f>
        <v>0</v>
      </c>
    </row>
    <row r="20" spans="1:256" s="27" customFormat="1" ht="12.75" x14ac:dyDescent="0.2">
      <c r="A20" s="36" t="str">
        <f>IF('Instructions &amp; Summary'!$E$4="1H","February","August")</f>
        <v>August</v>
      </c>
      <c r="B20" s="41">
        <f>VLOOKUP($A20,'Bidding Load'!$A$21:$E$32,MATCH(B$18,'Bidding Load'!$A$20:$E$20,0),FALSE)</f>
        <v>28153</v>
      </c>
      <c r="C20" s="41">
        <f>VLOOKUP($A20,'Bidding Load'!$A$21:$E$32,MATCH(C$18,'Bidding Load'!$A$20:$E$20,0),FALSE)</f>
        <v>5949</v>
      </c>
      <c r="D20" s="41">
        <f>VLOOKUP($A20,'Bidding Load'!$A$21:$E$32,MATCH(D$18,'Bidding Load'!$A$20:$E$20,0),FALSE)</f>
        <v>123941</v>
      </c>
      <c r="E20" s="41">
        <f>VLOOKUP($A20,'Bidding Load'!$A$21:$E$32,MATCH(E$18,'Bidding Load'!$A$20:$E$20,0),FALSE)</f>
        <v>367</v>
      </c>
      <c r="F20" s="54"/>
      <c r="G20" s="54"/>
      <c r="H20" s="54"/>
      <c r="I20" s="54"/>
      <c r="J20" s="56">
        <f t="shared" si="3"/>
        <v>0</v>
      </c>
      <c r="K20" s="56">
        <f t="shared" si="4"/>
        <v>0</v>
      </c>
      <c r="L20" s="56">
        <f t="shared" si="4"/>
        <v>0</v>
      </c>
      <c r="M20" s="56">
        <f t="shared" si="4"/>
        <v>0</v>
      </c>
      <c r="N20" s="56">
        <f t="shared" si="5"/>
        <v>0</v>
      </c>
    </row>
    <row r="21" spans="1:256" s="27" customFormat="1" ht="12.75" x14ac:dyDescent="0.2">
      <c r="A21" s="36" t="str">
        <f>IF('Instructions &amp; Summary'!$E$4="1H","March","September")</f>
        <v>September</v>
      </c>
      <c r="B21" s="41">
        <f>VLOOKUP($A21,'Bidding Load'!$A$21:$E$32,MATCH(B$18,'Bidding Load'!$A$20:$E$20,0),FALSE)</f>
        <v>25978</v>
      </c>
      <c r="C21" s="41">
        <f>VLOOKUP($A21,'Bidding Load'!$A$21:$E$32,MATCH(C$18,'Bidding Load'!$A$20:$E$20,0),FALSE)</f>
        <v>5498</v>
      </c>
      <c r="D21" s="41">
        <f>VLOOKUP($A21,'Bidding Load'!$A$21:$E$32,MATCH(D$18,'Bidding Load'!$A$20:$E$20,0),FALSE)</f>
        <v>96191</v>
      </c>
      <c r="E21" s="41">
        <f>VLOOKUP($A21,'Bidding Load'!$A$21:$E$32,MATCH(E$18,'Bidding Load'!$A$20:$E$20,0),FALSE)</f>
        <v>460</v>
      </c>
      <c r="F21" s="54"/>
      <c r="G21" s="54"/>
      <c r="H21" s="54"/>
      <c r="I21" s="54"/>
      <c r="J21" s="56">
        <f t="shared" si="3"/>
        <v>0</v>
      </c>
      <c r="K21" s="56">
        <f t="shared" si="4"/>
        <v>0</v>
      </c>
      <c r="L21" s="56">
        <f t="shared" si="4"/>
        <v>0</v>
      </c>
      <c r="M21" s="56">
        <f t="shared" si="4"/>
        <v>0</v>
      </c>
      <c r="N21" s="56">
        <f t="shared" si="5"/>
        <v>0</v>
      </c>
    </row>
    <row r="22" spans="1:256" s="27" customFormat="1" ht="12.75" x14ac:dyDescent="0.2">
      <c r="A22" s="36" t="str">
        <f>IF('Instructions &amp; Summary'!$E$4="1H","April","October")</f>
        <v>October</v>
      </c>
      <c r="B22" s="41">
        <f>VLOOKUP($A22,'Bidding Load'!$A$21:$E$32,MATCH(B$18,'Bidding Load'!$A$20:$E$20,0),FALSE)</f>
        <v>26714</v>
      </c>
      <c r="C22" s="41">
        <f>VLOOKUP($A22,'Bidding Load'!$A$21:$E$32,MATCH(C$18,'Bidding Load'!$A$20:$E$20,0),FALSE)</f>
        <v>6162</v>
      </c>
      <c r="D22" s="41">
        <f>VLOOKUP($A22,'Bidding Load'!$A$21:$E$32,MATCH(D$18,'Bidding Load'!$A$20:$E$20,0),FALSE)</f>
        <v>81753</v>
      </c>
      <c r="E22" s="41">
        <f>VLOOKUP($A22,'Bidding Load'!$A$21:$E$32,MATCH(E$18,'Bidding Load'!$A$20:$E$20,0),FALSE)</f>
        <v>665</v>
      </c>
      <c r="F22" s="54"/>
      <c r="G22" s="54"/>
      <c r="H22" s="54"/>
      <c r="I22" s="54"/>
      <c r="J22" s="56">
        <f t="shared" si="3"/>
        <v>0</v>
      </c>
      <c r="K22" s="56">
        <f t="shared" si="4"/>
        <v>0</v>
      </c>
      <c r="L22" s="56">
        <f t="shared" si="4"/>
        <v>0</v>
      </c>
      <c r="M22" s="56">
        <f t="shared" si="4"/>
        <v>0</v>
      </c>
      <c r="N22" s="56">
        <f t="shared" si="5"/>
        <v>0</v>
      </c>
    </row>
    <row r="23" spans="1:256" s="27" customFormat="1" ht="12.75" x14ac:dyDescent="0.2">
      <c r="A23" s="36" t="str">
        <f>IF('Instructions &amp; Summary'!$E$4="1H","May","November")</f>
        <v>November</v>
      </c>
      <c r="B23" s="41">
        <f>VLOOKUP($A23,'Bidding Load'!$A$21:$E$32,MATCH(B$18,'Bidding Load'!$A$20:$E$20,0),FALSE)</f>
        <v>27893</v>
      </c>
      <c r="C23" s="41">
        <f>VLOOKUP($A23,'Bidding Load'!$A$21:$E$32,MATCH(C$18,'Bidding Load'!$A$20:$E$20,0),FALSE)</f>
        <v>6295</v>
      </c>
      <c r="D23" s="41">
        <f>VLOOKUP($A23,'Bidding Load'!$A$21:$E$32,MATCH(D$18,'Bidding Load'!$A$20:$E$20,0),FALSE)</f>
        <v>91157</v>
      </c>
      <c r="E23" s="41">
        <f>VLOOKUP($A23,'Bidding Load'!$A$21:$E$32,MATCH(E$18,'Bidding Load'!$A$20:$E$20,0),FALSE)</f>
        <v>786</v>
      </c>
      <c r="F23" s="54"/>
      <c r="G23" s="54"/>
      <c r="H23" s="54"/>
      <c r="I23" s="54"/>
      <c r="J23" s="56">
        <f t="shared" si="3"/>
        <v>0</v>
      </c>
      <c r="K23" s="56">
        <f t="shared" si="4"/>
        <v>0</v>
      </c>
      <c r="L23" s="56">
        <f t="shared" si="4"/>
        <v>0</v>
      </c>
      <c r="M23" s="56">
        <f t="shared" si="4"/>
        <v>0</v>
      </c>
      <c r="N23" s="56">
        <f t="shared" si="5"/>
        <v>0</v>
      </c>
    </row>
    <row r="24" spans="1:256" s="27" customFormat="1" ht="12.75" x14ac:dyDescent="0.2">
      <c r="A24" s="36" t="str">
        <f>IF('Instructions &amp; Summary'!$E$4="1H","June","December")</f>
        <v>December</v>
      </c>
      <c r="B24" s="41">
        <f>VLOOKUP($A24,'Bidding Load'!$A$21:$E$32,MATCH(B$18,'Bidding Load'!$A$20:$E$20,0),FALSE)</f>
        <v>28948</v>
      </c>
      <c r="C24" s="41">
        <f>VLOOKUP($A24,'Bidding Load'!$A$21:$E$32,MATCH(C$18,'Bidding Load'!$A$20:$E$20,0),FALSE)</f>
        <v>5445</v>
      </c>
      <c r="D24" s="41">
        <f>VLOOKUP($A24,'Bidding Load'!$A$21:$E$32,MATCH(D$18,'Bidding Load'!$A$20:$E$20,0),FALSE)</f>
        <v>118265</v>
      </c>
      <c r="E24" s="41">
        <f>VLOOKUP($A24,'Bidding Load'!$A$21:$E$32,MATCH(E$18,'Bidding Load'!$A$20:$E$20,0),FALSE)</f>
        <v>724</v>
      </c>
      <c r="F24" s="54"/>
      <c r="G24" s="54"/>
      <c r="H24" s="54"/>
      <c r="I24" s="54"/>
      <c r="J24" s="56">
        <f t="shared" si="3"/>
        <v>0</v>
      </c>
      <c r="K24" s="56">
        <f t="shared" si="4"/>
        <v>0</v>
      </c>
      <c r="L24" s="56">
        <f t="shared" si="4"/>
        <v>0</v>
      </c>
      <c r="M24" s="56">
        <f t="shared" si="4"/>
        <v>0</v>
      </c>
      <c r="N24" s="56">
        <f t="shared" si="5"/>
        <v>0</v>
      </c>
    </row>
    <row r="25" spans="1:256" x14ac:dyDescent="0.25">
      <c r="A25" s="39" t="s">
        <v>45</v>
      </c>
      <c r="B25" s="42">
        <f>SUM(B19:B24)</f>
        <v>169764</v>
      </c>
      <c r="C25" s="42">
        <f>SUM(C19:C24)</f>
        <v>35775</v>
      </c>
      <c r="D25" s="42">
        <f>SUM(D19:D24)</f>
        <v>652646</v>
      </c>
      <c r="E25" s="42">
        <f>SUM(E19:E24)</f>
        <v>3347</v>
      </c>
      <c r="F25" s="37" t="s">
        <v>44</v>
      </c>
      <c r="G25" s="37" t="s">
        <v>44</v>
      </c>
      <c r="H25" s="37" t="s">
        <v>44</v>
      </c>
      <c r="I25" s="37" t="s">
        <v>44</v>
      </c>
      <c r="J25" s="58">
        <f>SUM(J19:J24)</f>
        <v>0</v>
      </c>
      <c r="K25" s="58">
        <f>SUM(K19:K24)</f>
        <v>0</v>
      </c>
      <c r="L25" s="58">
        <f>SUM(L19:L24)</f>
        <v>0</v>
      </c>
      <c r="M25" s="58">
        <f>SUM(M19:M24)</f>
        <v>0</v>
      </c>
      <c r="N25" s="58">
        <f>SUM(N19:N24)</f>
        <v>0</v>
      </c>
      <c r="O25" s="28"/>
      <c r="P25" s="29"/>
      <c r="Q25" s="29"/>
      <c r="R25" s="29"/>
      <c r="S25" s="29"/>
      <c r="T25" s="28"/>
      <c r="U25" s="3"/>
      <c r="V25" s="3"/>
      <c r="W25" s="3"/>
      <c r="X25" s="30"/>
      <c r="Y25" s="30"/>
      <c r="Z25" s="30"/>
      <c r="AA25" s="31"/>
      <c r="AB25" s="30"/>
      <c r="AC25" s="28"/>
      <c r="AD25" s="29"/>
      <c r="AE25" s="29"/>
      <c r="AF25" s="29"/>
      <c r="AG25" s="29"/>
      <c r="AH25" s="28"/>
      <c r="AI25" s="3"/>
      <c r="AJ25" s="3"/>
      <c r="AK25" s="3"/>
      <c r="AL25" s="30"/>
      <c r="AM25" s="30"/>
      <c r="AN25" s="30"/>
      <c r="AO25" s="31"/>
      <c r="AP25" s="30"/>
      <c r="AQ25" s="28"/>
      <c r="AR25" s="29"/>
      <c r="AS25" s="29"/>
      <c r="AT25" s="29"/>
      <c r="AU25" s="29"/>
      <c r="AV25" s="28"/>
      <c r="AW25" s="3"/>
      <c r="AX25" s="3"/>
      <c r="AY25" s="3"/>
      <c r="AZ25" s="30"/>
      <c r="BA25" s="30"/>
      <c r="BB25" s="30"/>
      <c r="BC25" s="31"/>
      <c r="BD25" s="30"/>
      <c r="BE25" s="28"/>
      <c r="BF25" s="29"/>
      <c r="BG25" s="29"/>
      <c r="BH25" s="29"/>
      <c r="BI25" s="29"/>
      <c r="BJ25" s="28"/>
      <c r="BK25" s="3"/>
      <c r="BL25" s="3"/>
      <c r="BM25" s="3"/>
      <c r="BN25" s="30"/>
      <c r="BO25" s="30"/>
      <c r="BP25" s="30"/>
      <c r="BQ25" s="31"/>
      <c r="BR25" s="30"/>
      <c r="BS25" s="28"/>
      <c r="BT25" s="29"/>
      <c r="BU25" s="29"/>
      <c r="BV25" s="29"/>
      <c r="BW25" s="29"/>
      <c r="BX25" s="28"/>
      <c r="BY25" s="3"/>
      <c r="BZ25" s="3"/>
      <c r="CA25" s="3"/>
      <c r="CB25" s="30"/>
      <c r="CC25" s="30"/>
      <c r="CD25" s="30"/>
      <c r="CE25" s="31"/>
      <c r="CF25" s="30"/>
      <c r="CG25" s="28"/>
      <c r="CH25" s="29"/>
      <c r="CI25" s="29"/>
      <c r="CJ25" s="29"/>
      <c r="CK25" s="29"/>
      <c r="CL25" s="28"/>
      <c r="CM25" s="3"/>
      <c r="CN25" s="3"/>
      <c r="CO25" s="3"/>
      <c r="CP25" s="30"/>
      <c r="CQ25" s="30"/>
      <c r="CR25" s="30"/>
      <c r="CS25" s="31"/>
      <c r="CT25" s="30"/>
      <c r="CU25" s="28"/>
      <c r="CV25" s="29"/>
      <c r="CW25" s="29"/>
      <c r="CX25" s="29"/>
      <c r="CY25" s="29"/>
      <c r="CZ25" s="28"/>
      <c r="DA25" s="3"/>
      <c r="DB25" s="3"/>
      <c r="DC25" s="3"/>
      <c r="DD25" s="30"/>
      <c r="DE25" s="30"/>
      <c r="DF25" s="30"/>
      <c r="DG25" s="31"/>
      <c r="DH25" s="30"/>
      <c r="DI25" s="28"/>
      <c r="DJ25" s="29"/>
      <c r="DK25" s="29"/>
      <c r="DL25" s="29"/>
      <c r="DM25" s="29"/>
      <c r="DN25" s="28"/>
      <c r="DO25" s="3"/>
      <c r="DP25" s="3"/>
      <c r="DQ25" s="3"/>
      <c r="DR25" s="30"/>
      <c r="DS25" s="30"/>
      <c r="DT25" s="30"/>
      <c r="DU25" s="31"/>
      <c r="DV25" s="30"/>
      <c r="DW25" s="28"/>
      <c r="DX25" s="29"/>
      <c r="DY25" s="29"/>
      <c r="DZ25" s="29"/>
      <c r="EA25" s="29"/>
      <c r="EB25" s="28"/>
      <c r="EC25" s="3"/>
      <c r="ED25" s="3"/>
      <c r="EE25" s="3"/>
      <c r="EF25" s="30"/>
      <c r="EG25" s="30"/>
      <c r="EH25" s="30"/>
      <c r="EI25" s="31"/>
      <c r="EJ25" s="30"/>
      <c r="EK25" s="28"/>
      <c r="EL25" s="29"/>
      <c r="EM25" s="29"/>
      <c r="EN25" s="29"/>
      <c r="EO25" s="29"/>
      <c r="EP25" s="28"/>
      <c r="EQ25" s="3"/>
      <c r="ER25" s="3"/>
      <c r="ES25" s="3"/>
      <c r="ET25" s="30"/>
      <c r="EU25" s="30"/>
      <c r="EV25" s="30"/>
      <c r="EW25" s="31"/>
      <c r="EX25" s="30"/>
      <c r="EY25" s="28"/>
      <c r="EZ25" s="29"/>
      <c r="FA25" s="29"/>
      <c r="FB25" s="29"/>
      <c r="FC25" s="29"/>
      <c r="FD25" s="28"/>
      <c r="FE25" s="3"/>
      <c r="FF25" s="3"/>
      <c r="FG25" s="3"/>
      <c r="FH25" s="30"/>
      <c r="FI25" s="30"/>
      <c r="FJ25" s="30"/>
      <c r="FK25" s="31"/>
      <c r="FL25" s="30"/>
      <c r="FM25" s="28"/>
      <c r="FN25" s="29"/>
      <c r="FO25" s="29"/>
      <c r="FP25" s="29"/>
      <c r="FQ25" s="29"/>
      <c r="FR25" s="28"/>
      <c r="FS25" s="3"/>
      <c r="FT25" s="3"/>
      <c r="FU25" s="3"/>
      <c r="FV25" s="30"/>
      <c r="FW25" s="30"/>
      <c r="FX25" s="30"/>
      <c r="FY25" s="31"/>
      <c r="FZ25" s="30"/>
      <c r="GA25" s="28"/>
      <c r="GB25" s="29"/>
      <c r="GC25" s="29"/>
      <c r="GD25" s="29"/>
      <c r="GE25" s="29"/>
      <c r="GF25" s="28"/>
      <c r="GG25" s="3"/>
      <c r="GH25" s="3"/>
      <c r="GI25" s="3"/>
      <c r="GJ25" s="30"/>
      <c r="GK25" s="30"/>
      <c r="GL25" s="30"/>
      <c r="GM25" s="31"/>
      <c r="GN25" s="30"/>
      <c r="GO25" s="28"/>
      <c r="GP25" s="29"/>
      <c r="GQ25" s="29"/>
      <c r="GR25" s="29"/>
      <c r="GS25" s="29"/>
      <c r="GT25" s="28"/>
      <c r="GU25" s="3"/>
      <c r="GV25" s="3"/>
      <c r="GW25" s="3"/>
      <c r="GX25" s="30"/>
      <c r="GY25" s="30"/>
      <c r="GZ25" s="30"/>
      <c r="HA25" s="31"/>
      <c r="HB25" s="30"/>
      <c r="HC25" s="28"/>
      <c r="HD25" s="29"/>
      <c r="HE25" s="29"/>
      <c r="HF25" s="29"/>
      <c r="HG25" s="29"/>
      <c r="HH25" s="28"/>
      <c r="HI25" s="3"/>
      <c r="HJ25" s="3"/>
      <c r="HK25" s="3"/>
      <c r="HL25" s="30"/>
      <c r="HM25" s="30"/>
      <c r="HN25" s="30"/>
      <c r="HO25" s="31"/>
      <c r="HP25" s="30"/>
      <c r="HQ25" s="28"/>
      <c r="HR25" s="29"/>
      <c r="HS25" s="29"/>
      <c r="HT25" s="29"/>
      <c r="HU25" s="29"/>
      <c r="HV25" s="28"/>
      <c r="HW25" s="3"/>
      <c r="HX25" s="3"/>
      <c r="HY25" s="3"/>
      <c r="HZ25" s="30"/>
      <c r="IA25" s="30"/>
      <c r="IB25" s="30"/>
      <c r="IC25" s="31"/>
      <c r="ID25" s="30"/>
      <c r="IE25" s="28"/>
      <c r="IF25" s="29"/>
      <c r="IG25" s="29"/>
      <c r="IH25" s="29"/>
      <c r="II25" s="29"/>
      <c r="IJ25" s="28"/>
      <c r="IK25" s="3"/>
      <c r="IL25" s="3"/>
      <c r="IM25" s="3"/>
      <c r="IN25" s="30"/>
      <c r="IO25" s="30"/>
      <c r="IP25" s="30"/>
      <c r="IQ25" s="31"/>
      <c r="IR25" s="30"/>
      <c r="IS25" s="28"/>
      <c r="IT25" s="29"/>
      <c r="IU25" s="29"/>
      <c r="IV25" s="29"/>
    </row>
    <row r="27" spans="1:256" x14ac:dyDescent="0.25">
      <c r="A27" s="39" t="s">
        <v>57</v>
      </c>
      <c r="B27" s="43">
        <f>SUM(B25:E25)</f>
        <v>861532</v>
      </c>
      <c r="E27" s="102" t="s">
        <v>47</v>
      </c>
      <c r="F27" s="103"/>
      <c r="G27" s="103"/>
      <c r="H27" s="103"/>
      <c r="I27" s="104"/>
    </row>
    <row r="28" spans="1:256" x14ac:dyDescent="0.25">
      <c r="E28" s="50"/>
      <c r="F28" s="51"/>
      <c r="G28" s="52"/>
      <c r="H28" s="52"/>
      <c r="I28" s="53"/>
    </row>
    <row r="29" spans="1:256" x14ac:dyDescent="0.25">
      <c r="A29" s="48" t="s">
        <v>61</v>
      </c>
      <c r="B29" s="43">
        <f>B15+B27</f>
        <v>1193349</v>
      </c>
      <c r="E29" s="109" t="str">
        <f>'Instructions &amp; Summary'!$A$18</f>
        <v>SAMPLE - Bidder "X"- NOT TO BE USED FOR BID SUBMITTAL</v>
      </c>
      <c r="F29" s="110"/>
      <c r="G29" s="110"/>
      <c r="H29" s="110"/>
      <c r="I29" s="111"/>
    </row>
    <row r="30" spans="1:256" x14ac:dyDescent="0.25">
      <c r="E30" s="109" t="str">
        <f>'Instructions &amp; Summary'!$A$19</f>
        <v>Bidder "X"</v>
      </c>
      <c r="F30" s="110"/>
      <c r="G30" s="110"/>
      <c r="H30" s="110"/>
      <c r="I30" s="111"/>
    </row>
    <row r="31" spans="1:256" ht="12.75" customHeight="1" x14ac:dyDescent="0.25">
      <c r="A31" s="48" t="str">
        <f>A3</f>
        <v>UI SS Tranche 8</v>
      </c>
      <c r="B31" s="71" t="s">
        <v>62</v>
      </c>
      <c r="C31" s="71" t="s">
        <v>46</v>
      </c>
      <c r="E31" s="105" t="str">
        <f>B3</f>
        <v>July 1, 2027 through December 31, 2027 - 10% of the SS TOTAL load</v>
      </c>
      <c r="F31" s="113"/>
      <c r="G31" s="113"/>
      <c r="H31" s="113"/>
      <c r="I31" s="114"/>
    </row>
    <row r="32" spans="1:256" ht="12.75" customHeight="1" x14ac:dyDescent="0.25">
      <c r="A32" s="49" t="s">
        <v>58</v>
      </c>
      <c r="B32" s="61">
        <f>N13</f>
        <v>0</v>
      </c>
      <c r="C32" s="62">
        <f>ROUND(B32/B15,2)</f>
        <v>0</v>
      </c>
    </row>
    <row r="33" spans="1:8" ht="12.75" customHeight="1" x14ac:dyDescent="0.25">
      <c r="A33" s="49" t="s">
        <v>59</v>
      </c>
      <c r="B33" s="61">
        <f>N25</f>
        <v>0</v>
      </c>
      <c r="C33" s="62">
        <f>ROUND(B33/B27,2)</f>
        <v>0</v>
      </c>
      <c r="D33" s="7"/>
    </row>
    <row r="34" spans="1:8" ht="12.75" customHeight="1" x14ac:dyDescent="0.25">
      <c r="A34" s="55" t="s">
        <v>60</v>
      </c>
      <c r="B34" s="63">
        <f>SUM(B32:B33)</f>
        <v>0</v>
      </c>
      <c r="C34" s="64">
        <f>ROUND(B34/B29,2)</f>
        <v>0</v>
      </c>
    </row>
    <row r="35" spans="1:8" ht="30" customHeight="1" x14ac:dyDescent="0.25">
      <c r="A35" s="45"/>
      <c r="B35" s="46"/>
      <c r="C35" s="47"/>
    </row>
    <row r="36" spans="1:8" x14ac:dyDescent="0.25">
      <c r="A36" s="45"/>
      <c r="B36" s="46"/>
      <c r="C36" s="47"/>
      <c r="H36" s="32"/>
    </row>
  </sheetData>
  <sheetProtection algorithmName="SHA-512" hashValue="Q0A7s/j+YrBa/GFvMnGUWorED1/xWHiTosmPSt8I0cv/lCzkAfsAkc5IuVUGsHE7UjM/lVvFrP+eAQKQsfQz9w==" saltValue="/y1MfVTcGl8F4kZtAwA3eA==" spinCount="100000" sheet="1" objects="1" scenarios="1"/>
  <mergeCells count="13">
    <mergeCell ref="E30:I30"/>
    <mergeCell ref="E31:I31"/>
    <mergeCell ref="A1:N1"/>
    <mergeCell ref="A5:A6"/>
    <mergeCell ref="B5:E5"/>
    <mergeCell ref="F5:I5"/>
    <mergeCell ref="J5:N5"/>
    <mergeCell ref="A17:A18"/>
    <mergeCell ref="B17:E17"/>
    <mergeCell ref="F17:I17"/>
    <mergeCell ref="J17:N17"/>
    <mergeCell ref="E27:I27"/>
    <mergeCell ref="E29:I29"/>
  </mergeCells>
  <pageMargins left="0.7" right="0.7" top="0.75" bottom="0.75" header="0.3" footer="0.3"/>
  <pageSetup scale="57" fitToHeight="0" orientation="landscape" r:id="rId1"/>
  <headerFooter>
    <oddHeader xml:space="preserve">&amp;L&amp;"Arial,Bold"&amp;10The United Illuminating Company
Docket No: 26-01-02
&amp;C&amp;"Arial,Bold"&amp;10CONFIDENTIAL
&amp;A&amp;R&amp;"Arial,Bold"&amp;10UI Attachment 2a
Page 10 of 12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V36"/>
  <sheetViews>
    <sheetView zoomScaleNormal="100" workbookViewId="0">
      <selection sqref="A1:N1"/>
    </sheetView>
  </sheetViews>
  <sheetFormatPr defaultRowHeight="15" x14ac:dyDescent="0.25"/>
  <cols>
    <col min="1" max="1" width="21.42578125" style="35" customWidth="1"/>
    <col min="2" max="5" width="14.28515625" customWidth="1"/>
    <col min="6" max="9" width="10.7109375" customWidth="1"/>
    <col min="10" max="14" width="14.28515625" customWidth="1"/>
  </cols>
  <sheetData>
    <row r="1" spans="1:14" ht="18" x14ac:dyDescent="0.25">
      <c r="A1" s="101" t="str">
        <f>'Instructions &amp; Summary'!A1</f>
        <v>CONFIDENTIAL UNTIL 10/20/2026</v>
      </c>
      <c r="B1" s="101"/>
      <c r="C1" s="101"/>
      <c r="D1" s="101"/>
      <c r="E1" s="101"/>
      <c r="F1" s="101"/>
      <c r="G1" s="101"/>
      <c r="H1" s="101"/>
      <c r="I1" s="101"/>
      <c r="J1" s="101"/>
      <c r="K1" s="101"/>
      <c r="L1" s="101"/>
      <c r="M1" s="101"/>
      <c r="N1" s="101"/>
    </row>
    <row r="3" spans="1:14" ht="15.75" x14ac:dyDescent="0.25">
      <c r="A3" s="34" t="s">
        <v>36</v>
      </c>
      <c r="B3" s="33" t="str">
        <f>VLOOKUP($A$3,'Instructions &amp; Summary'!$A$7:$B$14,2,FALSE)</f>
        <v>July 1, 2027 through December 31, 2027 - 10% of the SS TOTAL load</v>
      </c>
      <c r="C3" s="26"/>
      <c r="D3" s="26"/>
      <c r="E3" s="26"/>
      <c r="F3" s="26"/>
      <c r="G3" s="5"/>
    </row>
    <row r="4" spans="1:14" ht="15.75" x14ac:dyDescent="0.25">
      <c r="A4" s="34"/>
      <c r="B4" s="33"/>
      <c r="C4" s="26"/>
      <c r="D4" s="26"/>
      <c r="E4" s="26"/>
      <c r="F4" s="26"/>
      <c r="G4" s="5"/>
    </row>
    <row r="5" spans="1:14" x14ac:dyDescent="0.25">
      <c r="A5" s="108" t="s">
        <v>14</v>
      </c>
      <c r="B5" s="112" t="s">
        <v>50</v>
      </c>
      <c r="C5" s="112"/>
      <c r="D5" s="112"/>
      <c r="E5" s="112"/>
      <c r="F5" s="112" t="s">
        <v>51</v>
      </c>
      <c r="G5" s="112"/>
      <c r="H5" s="112"/>
      <c r="I5" s="112"/>
      <c r="J5" s="98" t="s">
        <v>52</v>
      </c>
      <c r="K5" s="99"/>
      <c r="L5" s="99"/>
      <c r="M5" s="99"/>
      <c r="N5" s="100"/>
    </row>
    <row r="6" spans="1:14" s="27" customFormat="1" ht="12.75" x14ac:dyDescent="0.2">
      <c r="A6" s="108"/>
      <c r="B6" s="38" t="s">
        <v>41</v>
      </c>
      <c r="C6" s="38" t="s">
        <v>42</v>
      </c>
      <c r="D6" s="38" t="s">
        <v>15</v>
      </c>
      <c r="E6" s="38" t="s">
        <v>43</v>
      </c>
      <c r="F6" s="38" t="s">
        <v>41</v>
      </c>
      <c r="G6" s="38" t="s">
        <v>42</v>
      </c>
      <c r="H6" s="38" t="s">
        <v>15</v>
      </c>
      <c r="I6" s="38" t="s">
        <v>43</v>
      </c>
      <c r="J6" s="38" t="s">
        <v>41</v>
      </c>
      <c r="K6" s="38" t="s">
        <v>42</v>
      </c>
      <c r="L6" s="38" t="s">
        <v>15</v>
      </c>
      <c r="M6" s="38" t="s">
        <v>43</v>
      </c>
      <c r="N6" s="44" t="s">
        <v>9</v>
      </c>
    </row>
    <row r="7" spans="1:14" s="27" customFormat="1" ht="12.75" x14ac:dyDescent="0.2">
      <c r="A7" s="36" t="str">
        <f>IF('Instructions &amp; Summary'!$E$4="1H","January","July")</f>
        <v>July</v>
      </c>
      <c r="B7" s="41">
        <f>VLOOKUP($A7,'Bidding Load'!$A$5:$E$16,MATCH(B$6,'Bidding Load'!$A$4:$E$4,0),FALSE)</f>
        <v>17019</v>
      </c>
      <c r="C7" s="41">
        <f>VLOOKUP($A7,'Bidding Load'!$A$5:$E$16,MATCH(C$6,'Bidding Load'!$A$4:$E$4,0),FALSE)</f>
        <v>2387</v>
      </c>
      <c r="D7" s="41">
        <f>VLOOKUP($A7,'Bidding Load'!$A$5:$E$16,MATCH(D$6,'Bidding Load'!$A$4:$E$4,0),FALSE)</f>
        <v>63150</v>
      </c>
      <c r="E7" s="41">
        <f>VLOOKUP($A7,'Bidding Load'!$A$5:$E$16,MATCH(E$6,'Bidding Load'!$A$4:$E$4,0),FALSE)</f>
        <v>0</v>
      </c>
      <c r="F7" s="54"/>
      <c r="G7" s="54"/>
      <c r="H7" s="54"/>
      <c r="I7" s="59" t="s">
        <v>44</v>
      </c>
      <c r="J7" s="56">
        <f t="shared" ref="J7:J12" si="0">ROUND(F7,2)*B7</f>
        <v>0</v>
      </c>
      <c r="K7" s="56">
        <f t="shared" ref="K7:L12" si="1">ROUND(G7,2)*C7</f>
        <v>0</v>
      </c>
      <c r="L7" s="56">
        <f t="shared" si="1"/>
        <v>0</v>
      </c>
      <c r="M7" s="40" t="s">
        <v>44</v>
      </c>
      <c r="N7" s="56">
        <f t="shared" ref="N7:N12" si="2">SUM(J7:L7)</f>
        <v>0</v>
      </c>
    </row>
    <row r="8" spans="1:14" s="27" customFormat="1" ht="12.75" x14ac:dyDescent="0.2">
      <c r="A8" s="36" t="str">
        <f>IF('Instructions &amp; Summary'!$E$4="1H","February","August")</f>
        <v>August</v>
      </c>
      <c r="B8" s="41">
        <f>VLOOKUP($A8,'Bidding Load'!$A$5:$E$16,MATCH(B$6,'Bidding Load'!$A$4:$E$4,0),FALSE)</f>
        <v>13107</v>
      </c>
      <c r="C8" s="41">
        <f>VLOOKUP($A8,'Bidding Load'!$A$5:$E$16,MATCH(C$6,'Bidding Load'!$A$4:$E$4,0),FALSE)</f>
        <v>1943</v>
      </c>
      <c r="D8" s="41">
        <f>VLOOKUP($A8,'Bidding Load'!$A$5:$E$16,MATCH(D$6,'Bidding Load'!$A$4:$E$4,0),FALSE)</f>
        <v>45464</v>
      </c>
      <c r="E8" s="41">
        <f>VLOOKUP($A8,'Bidding Load'!$A$5:$E$16,MATCH(E$6,'Bidding Load'!$A$4:$E$4,0),FALSE)</f>
        <v>0</v>
      </c>
      <c r="F8" s="54"/>
      <c r="G8" s="54"/>
      <c r="H8" s="54"/>
      <c r="I8" s="59" t="s">
        <v>44</v>
      </c>
      <c r="J8" s="56">
        <f t="shared" si="0"/>
        <v>0</v>
      </c>
      <c r="K8" s="56">
        <f t="shared" si="1"/>
        <v>0</v>
      </c>
      <c r="L8" s="56">
        <f t="shared" si="1"/>
        <v>0</v>
      </c>
      <c r="M8" s="40" t="s">
        <v>44</v>
      </c>
      <c r="N8" s="56">
        <f t="shared" si="2"/>
        <v>0</v>
      </c>
    </row>
    <row r="9" spans="1:14" s="27" customFormat="1" ht="12.75" x14ac:dyDescent="0.2">
      <c r="A9" s="36" t="str">
        <f>IF('Instructions &amp; Summary'!$E$4="1H","March","September")</f>
        <v>September</v>
      </c>
      <c r="B9" s="41">
        <f>VLOOKUP($A9,'Bidding Load'!$A$5:$E$16,MATCH(B$6,'Bidding Load'!$A$4:$E$4,0),FALSE)</f>
        <v>12516</v>
      </c>
      <c r="C9" s="41">
        <f>VLOOKUP($A9,'Bidding Load'!$A$5:$E$16,MATCH(C$6,'Bidding Load'!$A$4:$E$4,0),FALSE)</f>
        <v>1886</v>
      </c>
      <c r="D9" s="41">
        <f>VLOOKUP($A9,'Bidding Load'!$A$5:$E$16,MATCH(D$6,'Bidding Load'!$A$4:$E$4,0),FALSE)</f>
        <v>35046</v>
      </c>
      <c r="E9" s="41">
        <f>VLOOKUP($A9,'Bidding Load'!$A$5:$E$16,MATCH(E$6,'Bidding Load'!$A$4:$E$4,0),FALSE)</f>
        <v>0</v>
      </c>
      <c r="F9" s="54"/>
      <c r="G9" s="54"/>
      <c r="H9" s="54"/>
      <c r="I9" s="59" t="s">
        <v>44</v>
      </c>
      <c r="J9" s="56">
        <f t="shared" si="0"/>
        <v>0</v>
      </c>
      <c r="K9" s="56">
        <f t="shared" si="1"/>
        <v>0</v>
      </c>
      <c r="L9" s="56">
        <f t="shared" si="1"/>
        <v>0</v>
      </c>
      <c r="M9" s="40" t="s">
        <v>44</v>
      </c>
      <c r="N9" s="56">
        <f t="shared" si="2"/>
        <v>0</v>
      </c>
    </row>
    <row r="10" spans="1:14" s="27" customFormat="1" ht="12.75" x14ac:dyDescent="0.2">
      <c r="A10" s="36" t="str">
        <f>IF('Instructions &amp; Summary'!$E$4="1H","April","October")</f>
        <v>October</v>
      </c>
      <c r="B10" s="41">
        <f>VLOOKUP($A10,'Bidding Load'!$A$5:$E$16,MATCH(B$6,'Bidding Load'!$A$4:$E$4,0),FALSE)</f>
        <v>11946</v>
      </c>
      <c r="C10" s="41">
        <f>VLOOKUP($A10,'Bidding Load'!$A$5:$E$16,MATCH(C$6,'Bidding Load'!$A$4:$E$4,0),FALSE)</f>
        <v>2027</v>
      </c>
      <c r="D10" s="41">
        <f>VLOOKUP($A10,'Bidding Load'!$A$5:$E$16,MATCH(D$6,'Bidding Load'!$A$4:$E$4,0),FALSE)</f>
        <v>26925</v>
      </c>
      <c r="E10" s="41">
        <f>VLOOKUP($A10,'Bidding Load'!$A$5:$E$16,MATCH(E$6,'Bidding Load'!$A$4:$E$4,0),FALSE)</f>
        <v>0</v>
      </c>
      <c r="F10" s="54"/>
      <c r="G10" s="54"/>
      <c r="H10" s="54"/>
      <c r="I10" s="59" t="s">
        <v>44</v>
      </c>
      <c r="J10" s="56">
        <f t="shared" si="0"/>
        <v>0</v>
      </c>
      <c r="K10" s="56">
        <f t="shared" si="1"/>
        <v>0</v>
      </c>
      <c r="L10" s="56">
        <f t="shared" si="1"/>
        <v>0</v>
      </c>
      <c r="M10" s="40" t="s">
        <v>44</v>
      </c>
      <c r="N10" s="56">
        <f t="shared" si="2"/>
        <v>0</v>
      </c>
    </row>
    <row r="11" spans="1:14" s="27" customFormat="1" ht="12.75" x14ac:dyDescent="0.2">
      <c r="A11" s="36" t="str">
        <f>IF('Instructions &amp; Summary'!$E$4="1H","May","November")</f>
        <v>November</v>
      </c>
      <c r="B11" s="41">
        <f>VLOOKUP($A11,'Bidding Load'!$A$5:$E$16,MATCH(B$6,'Bidding Load'!$A$4:$E$4,0),FALSE)</f>
        <v>10527</v>
      </c>
      <c r="C11" s="41">
        <f>VLOOKUP($A11,'Bidding Load'!$A$5:$E$16,MATCH(C$6,'Bidding Load'!$A$4:$E$4,0),FALSE)</f>
        <v>1853</v>
      </c>
      <c r="D11" s="41">
        <f>VLOOKUP($A11,'Bidding Load'!$A$5:$E$16,MATCH(D$6,'Bidding Load'!$A$4:$E$4,0),FALSE)</f>
        <v>28447</v>
      </c>
      <c r="E11" s="41">
        <f>VLOOKUP($A11,'Bidding Load'!$A$5:$E$16,MATCH(E$6,'Bidding Load'!$A$4:$E$4,0),FALSE)</f>
        <v>0</v>
      </c>
      <c r="F11" s="54"/>
      <c r="G11" s="54"/>
      <c r="H11" s="54"/>
      <c r="I11" s="59" t="s">
        <v>44</v>
      </c>
      <c r="J11" s="56">
        <f t="shared" si="0"/>
        <v>0</v>
      </c>
      <c r="K11" s="56">
        <f t="shared" si="1"/>
        <v>0</v>
      </c>
      <c r="L11" s="56">
        <f t="shared" si="1"/>
        <v>0</v>
      </c>
      <c r="M11" s="40" t="s">
        <v>44</v>
      </c>
      <c r="N11" s="56">
        <f t="shared" si="2"/>
        <v>0</v>
      </c>
    </row>
    <row r="12" spans="1:14" s="27" customFormat="1" ht="12.75" x14ac:dyDescent="0.2">
      <c r="A12" s="36" t="str">
        <f>IF('Instructions &amp; Summary'!$E$4="1H","June","December")</f>
        <v>December</v>
      </c>
      <c r="B12" s="41">
        <f>VLOOKUP($A12,'Bidding Load'!$A$5:$E$16,MATCH(B$6,'Bidding Load'!$A$4:$E$4,0),FALSE)</f>
        <v>12418</v>
      </c>
      <c r="C12" s="41">
        <f>VLOOKUP($A12,'Bidding Load'!$A$5:$E$16,MATCH(C$6,'Bidding Load'!$A$4:$E$4,0),FALSE)</f>
        <v>1850</v>
      </c>
      <c r="D12" s="41">
        <f>VLOOKUP($A12,'Bidding Load'!$A$5:$E$16,MATCH(D$6,'Bidding Load'!$A$4:$E$4,0),FALSE)</f>
        <v>43306</v>
      </c>
      <c r="E12" s="41">
        <f>VLOOKUP($A12,'Bidding Load'!$A$5:$E$16,MATCH(E$6,'Bidding Load'!$A$4:$E$4,0),FALSE)</f>
        <v>0</v>
      </c>
      <c r="F12" s="54"/>
      <c r="G12" s="54"/>
      <c r="H12" s="54"/>
      <c r="I12" s="59" t="s">
        <v>44</v>
      </c>
      <c r="J12" s="56">
        <f t="shared" si="0"/>
        <v>0</v>
      </c>
      <c r="K12" s="56">
        <f t="shared" si="1"/>
        <v>0</v>
      </c>
      <c r="L12" s="56">
        <f t="shared" si="1"/>
        <v>0</v>
      </c>
      <c r="M12" s="40" t="s">
        <v>44</v>
      </c>
      <c r="N12" s="56">
        <f t="shared" si="2"/>
        <v>0</v>
      </c>
    </row>
    <row r="13" spans="1:14" x14ac:dyDescent="0.25">
      <c r="A13" s="39" t="s">
        <v>45</v>
      </c>
      <c r="B13" s="42">
        <f>SUM(B7:B12)</f>
        <v>77533</v>
      </c>
      <c r="C13" s="42">
        <f>SUM(C7:C12)</f>
        <v>11946</v>
      </c>
      <c r="D13" s="42">
        <f>SUM(D7:D12)</f>
        <v>242338</v>
      </c>
      <c r="E13" s="42">
        <f>SUM(E7:E12)</f>
        <v>0</v>
      </c>
      <c r="F13" s="37" t="s">
        <v>44</v>
      </c>
      <c r="G13" s="37" t="s">
        <v>44</v>
      </c>
      <c r="H13" s="37" t="s">
        <v>44</v>
      </c>
      <c r="I13" s="37" t="s">
        <v>44</v>
      </c>
      <c r="J13" s="58">
        <f>SUM(J7:J12)</f>
        <v>0</v>
      </c>
      <c r="K13" s="58">
        <f>SUM(K7:K12)</f>
        <v>0</v>
      </c>
      <c r="L13" s="58">
        <f>SUM(L7:L12)</f>
        <v>0</v>
      </c>
      <c r="M13" s="37" t="s">
        <v>44</v>
      </c>
      <c r="N13" s="58">
        <f>SUM(N7:N12)</f>
        <v>0</v>
      </c>
    </row>
    <row r="15" spans="1:14" x14ac:dyDescent="0.25">
      <c r="A15" s="39" t="s">
        <v>56</v>
      </c>
      <c r="B15" s="43">
        <f>SUM(B13:E13)</f>
        <v>331817</v>
      </c>
    </row>
    <row r="16" spans="1:14" x14ac:dyDescent="0.25">
      <c r="G16" s="5"/>
    </row>
    <row r="17" spans="1:256" x14ac:dyDescent="0.25">
      <c r="A17" s="108" t="s">
        <v>14</v>
      </c>
      <c r="B17" s="112" t="s">
        <v>53</v>
      </c>
      <c r="C17" s="112"/>
      <c r="D17" s="112"/>
      <c r="E17" s="112"/>
      <c r="F17" s="112" t="s">
        <v>54</v>
      </c>
      <c r="G17" s="112"/>
      <c r="H17" s="112"/>
      <c r="I17" s="112"/>
      <c r="J17" s="98" t="s">
        <v>55</v>
      </c>
      <c r="K17" s="99"/>
      <c r="L17" s="99"/>
      <c r="M17" s="99"/>
      <c r="N17" s="100"/>
    </row>
    <row r="18" spans="1:256" s="27" customFormat="1" ht="12.75" x14ac:dyDescent="0.2">
      <c r="A18" s="108"/>
      <c r="B18" s="38" t="s">
        <v>41</v>
      </c>
      <c r="C18" s="38" t="s">
        <v>42</v>
      </c>
      <c r="D18" s="38" t="s">
        <v>15</v>
      </c>
      <c r="E18" s="38" t="s">
        <v>43</v>
      </c>
      <c r="F18" s="38" t="s">
        <v>41</v>
      </c>
      <c r="G18" s="38" t="s">
        <v>42</v>
      </c>
      <c r="H18" s="38" t="s">
        <v>15</v>
      </c>
      <c r="I18" s="38" t="s">
        <v>43</v>
      </c>
      <c r="J18" s="38" t="s">
        <v>41</v>
      </c>
      <c r="K18" s="38" t="s">
        <v>42</v>
      </c>
      <c r="L18" s="38" t="s">
        <v>15</v>
      </c>
      <c r="M18" s="38" t="s">
        <v>43</v>
      </c>
      <c r="N18" s="44" t="s">
        <v>9</v>
      </c>
    </row>
    <row r="19" spans="1:256" s="27" customFormat="1" ht="12.75" x14ac:dyDescent="0.2">
      <c r="A19" s="36" t="str">
        <f>IF('Instructions &amp; Summary'!$E$4="1H","January","July")</f>
        <v>July</v>
      </c>
      <c r="B19" s="41">
        <f>VLOOKUP($A19,'Bidding Load'!$A$21:$E$32,MATCH(B$18,'Bidding Load'!$A$20:$E$20,0),FALSE)</f>
        <v>32078</v>
      </c>
      <c r="C19" s="41">
        <f>VLOOKUP($A19,'Bidding Load'!$A$21:$E$32,MATCH(C$18,'Bidding Load'!$A$20:$E$20,0),FALSE)</f>
        <v>6426</v>
      </c>
      <c r="D19" s="41">
        <f>VLOOKUP($A19,'Bidding Load'!$A$21:$E$32,MATCH(D$18,'Bidding Load'!$A$20:$E$20,0),FALSE)</f>
        <v>141339</v>
      </c>
      <c r="E19" s="41">
        <f>VLOOKUP($A19,'Bidding Load'!$A$21:$E$32,MATCH(E$18,'Bidding Load'!$A$20:$E$20,0),FALSE)</f>
        <v>345</v>
      </c>
      <c r="F19" s="54"/>
      <c r="G19" s="54"/>
      <c r="H19" s="54"/>
      <c r="I19" s="54"/>
      <c r="J19" s="56">
        <f t="shared" ref="J19:J24" si="3">ROUND(F19,2)*B19</f>
        <v>0</v>
      </c>
      <c r="K19" s="56">
        <f t="shared" ref="K19:M24" si="4">ROUND(G19,2)*C19</f>
        <v>0</v>
      </c>
      <c r="L19" s="56">
        <f t="shared" si="4"/>
        <v>0</v>
      </c>
      <c r="M19" s="56">
        <f t="shared" si="4"/>
        <v>0</v>
      </c>
      <c r="N19" s="56">
        <f t="shared" ref="N19:N24" si="5">SUM(J19:M19)</f>
        <v>0</v>
      </c>
    </row>
    <row r="20" spans="1:256" s="27" customFormat="1" ht="12.75" x14ac:dyDescent="0.2">
      <c r="A20" s="36" t="str">
        <f>IF('Instructions &amp; Summary'!$E$4="1H","February","August")</f>
        <v>August</v>
      </c>
      <c r="B20" s="41">
        <f>VLOOKUP($A20,'Bidding Load'!$A$21:$E$32,MATCH(B$18,'Bidding Load'!$A$20:$E$20,0),FALSE)</f>
        <v>28153</v>
      </c>
      <c r="C20" s="41">
        <f>VLOOKUP($A20,'Bidding Load'!$A$21:$E$32,MATCH(C$18,'Bidding Load'!$A$20:$E$20,0),FALSE)</f>
        <v>5949</v>
      </c>
      <c r="D20" s="41">
        <f>VLOOKUP($A20,'Bidding Load'!$A$21:$E$32,MATCH(D$18,'Bidding Load'!$A$20:$E$20,0),FALSE)</f>
        <v>123941</v>
      </c>
      <c r="E20" s="41">
        <f>VLOOKUP($A20,'Bidding Load'!$A$21:$E$32,MATCH(E$18,'Bidding Load'!$A$20:$E$20,0),FALSE)</f>
        <v>367</v>
      </c>
      <c r="F20" s="54"/>
      <c r="G20" s="54"/>
      <c r="H20" s="54"/>
      <c r="I20" s="54"/>
      <c r="J20" s="56">
        <f t="shared" si="3"/>
        <v>0</v>
      </c>
      <c r="K20" s="56">
        <f t="shared" si="4"/>
        <v>0</v>
      </c>
      <c r="L20" s="56">
        <f t="shared" si="4"/>
        <v>0</v>
      </c>
      <c r="M20" s="56">
        <f t="shared" si="4"/>
        <v>0</v>
      </c>
      <c r="N20" s="56">
        <f t="shared" si="5"/>
        <v>0</v>
      </c>
    </row>
    <row r="21" spans="1:256" s="27" customFormat="1" ht="12.75" x14ac:dyDescent="0.2">
      <c r="A21" s="36" t="str">
        <f>IF('Instructions &amp; Summary'!$E$4="1H","March","September")</f>
        <v>September</v>
      </c>
      <c r="B21" s="41">
        <f>VLOOKUP($A21,'Bidding Load'!$A$21:$E$32,MATCH(B$18,'Bidding Load'!$A$20:$E$20,0),FALSE)</f>
        <v>25978</v>
      </c>
      <c r="C21" s="41">
        <f>VLOOKUP($A21,'Bidding Load'!$A$21:$E$32,MATCH(C$18,'Bidding Load'!$A$20:$E$20,0),FALSE)</f>
        <v>5498</v>
      </c>
      <c r="D21" s="41">
        <f>VLOOKUP($A21,'Bidding Load'!$A$21:$E$32,MATCH(D$18,'Bidding Load'!$A$20:$E$20,0),FALSE)</f>
        <v>96191</v>
      </c>
      <c r="E21" s="41">
        <f>VLOOKUP($A21,'Bidding Load'!$A$21:$E$32,MATCH(E$18,'Bidding Load'!$A$20:$E$20,0),FALSE)</f>
        <v>460</v>
      </c>
      <c r="F21" s="54"/>
      <c r="G21" s="54"/>
      <c r="H21" s="54"/>
      <c r="I21" s="54"/>
      <c r="J21" s="56">
        <f t="shared" si="3"/>
        <v>0</v>
      </c>
      <c r="K21" s="56">
        <f t="shared" si="4"/>
        <v>0</v>
      </c>
      <c r="L21" s="56">
        <f t="shared" si="4"/>
        <v>0</v>
      </c>
      <c r="M21" s="56">
        <f t="shared" si="4"/>
        <v>0</v>
      </c>
      <c r="N21" s="56">
        <f t="shared" si="5"/>
        <v>0</v>
      </c>
    </row>
    <row r="22" spans="1:256" s="27" customFormat="1" ht="12.75" x14ac:dyDescent="0.2">
      <c r="A22" s="36" t="str">
        <f>IF('Instructions &amp; Summary'!$E$4="1H","April","October")</f>
        <v>October</v>
      </c>
      <c r="B22" s="41">
        <f>VLOOKUP($A22,'Bidding Load'!$A$21:$E$32,MATCH(B$18,'Bidding Load'!$A$20:$E$20,0),FALSE)</f>
        <v>26714</v>
      </c>
      <c r="C22" s="41">
        <f>VLOOKUP($A22,'Bidding Load'!$A$21:$E$32,MATCH(C$18,'Bidding Load'!$A$20:$E$20,0),FALSE)</f>
        <v>6162</v>
      </c>
      <c r="D22" s="41">
        <f>VLOOKUP($A22,'Bidding Load'!$A$21:$E$32,MATCH(D$18,'Bidding Load'!$A$20:$E$20,0),FALSE)</f>
        <v>81753</v>
      </c>
      <c r="E22" s="41">
        <f>VLOOKUP($A22,'Bidding Load'!$A$21:$E$32,MATCH(E$18,'Bidding Load'!$A$20:$E$20,0),FALSE)</f>
        <v>665</v>
      </c>
      <c r="F22" s="54"/>
      <c r="G22" s="54"/>
      <c r="H22" s="54"/>
      <c r="I22" s="54"/>
      <c r="J22" s="56">
        <f t="shared" si="3"/>
        <v>0</v>
      </c>
      <c r="K22" s="56">
        <f t="shared" si="4"/>
        <v>0</v>
      </c>
      <c r="L22" s="56">
        <f t="shared" si="4"/>
        <v>0</v>
      </c>
      <c r="M22" s="56">
        <f t="shared" si="4"/>
        <v>0</v>
      </c>
      <c r="N22" s="56">
        <f t="shared" si="5"/>
        <v>0</v>
      </c>
    </row>
    <row r="23" spans="1:256" s="27" customFormat="1" ht="12.75" x14ac:dyDescent="0.2">
      <c r="A23" s="36" t="str">
        <f>IF('Instructions &amp; Summary'!$E$4="1H","May","November")</f>
        <v>November</v>
      </c>
      <c r="B23" s="41">
        <f>VLOOKUP($A23,'Bidding Load'!$A$21:$E$32,MATCH(B$18,'Bidding Load'!$A$20:$E$20,0),FALSE)</f>
        <v>27893</v>
      </c>
      <c r="C23" s="41">
        <f>VLOOKUP($A23,'Bidding Load'!$A$21:$E$32,MATCH(C$18,'Bidding Load'!$A$20:$E$20,0),FALSE)</f>
        <v>6295</v>
      </c>
      <c r="D23" s="41">
        <f>VLOOKUP($A23,'Bidding Load'!$A$21:$E$32,MATCH(D$18,'Bidding Load'!$A$20:$E$20,0),FALSE)</f>
        <v>91157</v>
      </c>
      <c r="E23" s="41">
        <f>VLOOKUP($A23,'Bidding Load'!$A$21:$E$32,MATCH(E$18,'Bidding Load'!$A$20:$E$20,0),FALSE)</f>
        <v>786</v>
      </c>
      <c r="F23" s="54"/>
      <c r="G23" s="54"/>
      <c r="H23" s="54"/>
      <c r="I23" s="54"/>
      <c r="J23" s="56">
        <f t="shared" si="3"/>
        <v>0</v>
      </c>
      <c r="K23" s="56">
        <f t="shared" si="4"/>
        <v>0</v>
      </c>
      <c r="L23" s="56">
        <f t="shared" si="4"/>
        <v>0</v>
      </c>
      <c r="M23" s="56">
        <f t="shared" si="4"/>
        <v>0</v>
      </c>
      <c r="N23" s="56">
        <f t="shared" si="5"/>
        <v>0</v>
      </c>
    </row>
    <row r="24" spans="1:256" s="27" customFormat="1" ht="12.75" x14ac:dyDescent="0.2">
      <c r="A24" s="36" t="str">
        <f>IF('Instructions &amp; Summary'!$E$4="1H","June","December")</f>
        <v>December</v>
      </c>
      <c r="B24" s="41">
        <f>VLOOKUP($A24,'Bidding Load'!$A$21:$E$32,MATCH(B$18,'Bidding Load'!$A$20:$E$20,0),FALSE)</f>
        <v>28948</v>
      </c>
      <c r="C24" s="41">
        <f>VLOOKUP($A24,'Bidding Load'!$A$21:$E$32,MATCH(C$18,'Bidding Load'!$A$20:$E$20,0),FALSE)</f>
        <v>5445</v>
      </c>
      <c r="D24" s="41">
        <f>VLOOKUP($A24,'Bidding Load'!$A$21:$E$32,MATCH(D$18,'Bidding Load'!$A$20:$E$20,0),FALSE)</f>
        <v>118265</v>
      </c>
      <c r="E24" s="41">
        <f>VLOOKUP($A24,'Bidding Load'!$A$21:$E$32,MATCH(E$18,'Bidding Load'!$A$20:$E$20,0),FALSE)</f>
        <v>724</v>
      </c>
      <c r="F24" s="54"/>
      <c r="G24" s="54"/>
      <c r="H24" s="54"/>
      <c r="I24" s="54"/>
      <c r="J24" s="56">
        <f t="shared" si="3"/>
        <v>0</v>
      </c>
      <c r="K24" s="56">
        <f t="shared" si="4"/>
        <v>0</v>
      </c>
      <c r="L24" s="56">
        <f t="shared" si="4"/>
        <v>0</v>
      </c>
      <c r="M24" s="56">
        <f t="shared" si="4"/>
        <v>0</v>
      </c>
      <c r="N24" s="56">
        <f t="shared" si="5"/>
        <v>0</v>
      </c>
    </row>
    <row r="25" spans="1:256" x14ac:dyDescent="0.25">
      <c r="A25" s="39" t="s">
        <v>45</v>
      </c>
      <c r="B25" s="42">
        <f>SUM(B19:B24)</f>
        <v>169764</v>
      </c>
      <c r="C25" s="42">
        <f>SUM(C19:C24)</f>
        <v>35775</v>
      </c>
      <c r="D25" s="42">
        <f>SUM(D19:D24)</f>
        <v>652646</v>
      </c>
      <c r="E25" s="42">
        <f>SUM(E19:E24)</f>
        <v>3347</v>
      </c>
      <c r="F25" s="37" t="s">
        <v>44</v>
      </c>
      <c r="G25" s="37" t="s">
        <v>44</v>
      </c>
      <c r="H25" s="37" t="s">
        <v>44</v>
      </c>
      <c r="I25" s="37" t="s">
        <v>44</v>
      </c>
      <c r="J25" s="58">
        <f>SUM(J19:J24)</f>
        <v>0</v>
      </c>
      <c r="K25" s="58">
        <f>SUM(K19:K24)</f>
        <v>0</v>
      </c>
      <c r="L25" s="58">
        <f>SUM(L19:L24)</f>
        <v>0</v>
      </c>
      <c r="M25" s="58">
        <f>SUM(M19:M24)</f>
        <v>0</v>
      </c>
      <c r="N25" s="58">
        <f>SUM(N19:N24)</f>
        <v>0</v>
      </c>
      <c r="O25" s="28"/>
      <c r="P25" s="29"/>
      <c r="Q25" s="29"/>
      <c r="R25" s="29"/>
      <c r="S25" s="29"/>
      <c r="T25" s="28"/>
      <c r="U25" s="3"/>
      <c r="V25" s="3"/>
      <c r="W25" s="3"/>
      <c r="X25" s="30"/>
      <c r="Y25" s="30"/>
      <c r="Z25" s="30"/>
      <c r="AA25" s="31"/>
      <c r="AB25" s="30"/>
      <c r="AC25" s="28"/>
      <c r="AD25" s="29"/>
      <c r="AE25" s="29"/>
      <c r="AF25" s="29"/>
      <c r="AG25" s="29"/>
      <c r="AH25" s="28"/>
      <c r="AI25" s="3"/>
      <c r="AJ25" s="3"/>
      <c r="AK25" s="3"/>
      <c r="AL25" s="30"/>
      <c r="AM25" s="30"/>
      <c r="AN25" s="30"/>
      <c r="AO25" s="31"/>
      <c r="AP25" s="30"/>
      <c r="AQ25" s="28"/>
      <c r="AR25" s="29"/>
      <c r="AS25" s="29"/>
      <c r="AT25" s="29"/>
      <c r="AU25" s="29"/>
      <c r="AV25" s="28"/>
      <c r="AW25" s="3"/>
      <c r="AX25" s="3"/>
      <c r="AY25" s="3"/>
      <c r="AZ25" s="30"/>
      <c r="BA25" s="30"/>
      <c r="BB25" s="30"/>
      <c r="BC25" s="31"/>
      <c r="BD25" s="30"/>
      <c r="BE25" s="28"/>
      <c r="BF25" s="29"/>
      <c r="BG25" s="29"/>
      <c r="BH25" s="29"/>
      <c r="BI25" s="29"/>
      <c r="BJ25" s="28"/>
      <c r="BK25" s="3"/>
      <c r="BL25" s="3"/>
      <c r="BM25" s="3"/>
      <c r="BN25" s="30"/>
      <c r="BO25" s="30"/>
      <c r="BP25" s="30"/>
      <c r="BQ25" s="31"/>
      <c r="BR25" s="30"/>
      <c r="BS25" s="28"/>
      <c r="BT25" s="29"/>
      <c r="BU25" s="29"/>
      <c r="BV25" s="29"/>
      <c r="BW25" s="29"/>
      <c r="BX25" s="28"/>
      <c r="BY25" s="3"/>
      <c r="BZ25" s="3"/>
      <c r="CA25" s="3"/>
      <c r="CB25" s="30"/>
      <c r="CC25" s="30"/>
      <c r="CD25" s="30"/>
      <c r="CE25" s="31"/>
      <c r="CF25" s="30"/>
      <c r="CG25" s="28"/>
      <c r="CH25" s="29"/>
      <c r="CI25" s="29"/>
      <c r="CJ25" s="29"/>
      <c r="CK25" s="29"/>
      <c r="CL25" s="28"/>
      <c r="CM25" s="3"/>
      <c r="CN25" s="3"/>
      <c r="CO25" s="3"/>
      <c r="CP25" s="30"/>
      <c r="CQ25" s="30"/>
      <c r="CR25" s="30"/>
      <c r="CS25" s="31"/>
      <c r="CT25" s="30"/>
      <c r="CU25" s="28"/>
      <c r="CV25" s="29"/>
      <c r="CW25" s="29"/>
      <c r="CX25" s="29"/>
      <c r="CY25" s="29"/>
      <c r="CZ25" s="28"/>
      <c r="DA25" s="3"/>
      <c r="DB25" s="3"/>
      <c r="DC25" s="3"/>
      <c r="DD25" s="30"/>
      <c r="DE25" s="30"/>
      <c r="DF25" s="30"/>
      <c r="DG25" s="31"/>
      <c r="DH25" s="30"/>
      <c r="DI25" s="28"/>
      <c r="DJ25" s="29"/>
      <c r="DK25" s="29"/>
      <c r="DL25" s="29"/>
      <c r="DM25" s="29"/>
      <c r="DN25" s="28"/>
      <c r="DO25" s="3"/>
      <c r="DP25" s="3"/>
      <c r="DQ25" s="3"/>
      <c r="DR25" s="30"/>
      <c r="DS25" s="30"/>
      <c r="DT25" s="30"/>
      <c r="DU25" s="31"/>
      <c r="DV25" s="30"/>
      <c r="DW25" s="28"/>
      <c r="DX25" s="29"/>
      <c r="DY25" s="29"/>
      <c r="DZ25" s="29"/>
      <c r="EA25" s="29"/>
      <c r="EB25" s="28"/>
      <c r="EC25" s="3"/>
      <c r="ED25" s="3"/>
      <c r="EE25" s="3"/>
      <c r="EF25" s="30"/>
      <c r="EG25" s="30"/>
      <c r="EH25" s="30"/>
      <c r="EI25" s="31"/>
      <c r="EJ25" s="30"/>
      <c r="EK25" s="28"/>
      <c r="EL25" s="29"/>
      <c r="EM25" s="29"/>
      <c r="EN25" s="29"/>
      <c r="EO25" s="29"/>
      <c r="EP25" s="28"/>
      <c r="EQ25" s="3"/>
      <c r="ER25" s="3"/>
      <c r="ES25" s="3"/>
      <c r="ET25" s="30"/>
      <c r="EU25" s="30"/>
      <c r="EV25" s="30"/>
      <c r="EW25" s="31"/>
      <c r="EX25" s="30"/>
      <c r="EY25" s="28"/>
      <c r="EZ25" s="29"/>
      <c r="FA25" s="29"/>
      <c r="FB25" s="29"/>
      <c r="FC25" s="29"/>
      <c r="FD25" s="28"/>
      <c r="FE25" s="3"/>
      <c r="FF25" s="3"/>
      <c r="FG25" s="3"/>
      <c r="FH25" s="30"/>
      <c r="FI25" s="30"/>
      <c r="FJ25" s="30"/>
      <c r="FK25" s="31"/>
      <c r="FL25" s="30"/>
      <c r="FM25" s="28"/>
      <c r="FN25" s="29"/>
      <c r="FO25" s="29"/>
      <c r="FP25" s="29"/>
      <c r="FQ25" s="29"/>
      <c r="FR25" s="28"/>
      <c r="FS25" s="3"/>
      <c r="FT25" s="3"/>
      <c r="FU25" s="3"/>
      <c r="FV25" s="30"/>
      <c r="FW25" s="30"/>
      <c r="FX25" s="30"/>
      <c r="FY25" s="31"/>
      <c r="FZ25" s="30"/>
      <c r="GA25" s="28"/>
      <c r="GB25" s="29"/>
      <c r="GC25" s="29"/>
      <c r="GD25" s="29"/>
      <c r="GE25" s="29"/>
      <c r="GF25" s="28"/>
      <c r="GG25" s="3"/>
      <c r="GH25" s="3"/>
      <c r="GI25" s="3"/>
      <c r="GJ25" s="30"/>
      <c r="GK25" s="30"/>
      <c r="GL25" s="30"/>
      <c r="GM25" s="31"/>
      <c r="GN25" s="30"/>
      <c r="GO25" s="28"/>
      <c r="GP25" s="29"/>
      <c r="GQ25" s="29"/>
      <c r="GR25" s="29"/>
      <c r="GS25" s="29"/>
      <c r="GT25" s="28"/>
      <c r="GU25" s="3"/>
      <c r="GV25" s="3"/>
      <c r="GW25" s="3"/>
      <c r="GX25" s="30"/>
      <c r="GY25" s="30"/>
      <c r="GZ25" s="30"/>
      <c r="HA25" s="31"/>
      <c r="HB25" s="30"/>
      <c r="HC25" s="28"/>
      <c r="HD25" s="29"/>
      <c r="HE25" s="29"/>
      <c r="HF25" s="29"/>
      <c r="HG25" s="29"/>
      <c r="HH25" s="28"/>
      <c r="HI25" s="3"/>
      <c r="HJ25" s="3"/>
      <c r="HK25" s="3"/>
      <c r="HL25" s="30"/>
      <c r="HM25" s="30"/>
      <c r="HN25" s="30"/>
      <c r="HO25" s="31"/>
      <c r="HP25" s="30"/>
      <c r="HQ25" s="28"/>
      <c r="HR25" s="29"/>
      <c r="HS25" s="29"/>
      <c r="HT25" s="29"/>
      <c r="HU25" s="29"/>
      <c r="HV25" s="28"/>
      <c r="HW25" s="3"/>
      <c r="HX25" s="3"/>
      <c r="HY25" s="3"/>
      <c r="HZ25" s="30"/>
      <c r="IA25" s="30"/>
      <c r="IB25" s="30"/>
      <c r="IC25" s="31"/>
      <c r="ID25" s="30"/>
      <c r="IE25" s="28"/>
      <c r="IF25" s="29"/>
      <c r="IG25" s="29"/>
      <c r="IH25" s="29"/>
      <c r="II25" s="29"/>
      <c r="IJ25" s="28"/>
      <c r="IK25" s="3"/>
      <c r="IL25" s="3"/>
      <c r="IM25" s="3"/>
      <c r="IN25" s="30"/>
      <c r="IO25" s="30"/>
      <c r="IP25" s="30"/>
      <c r="IQ25" s="31"/>
      <c r="IR25" s="30"/>
      <c r="IS25" s="28"/>
      <c r="IT25" s="29"/>
      <c r="IU25" s="29"/>
      <c r="IV25" s="29"/>
    </row>
    <row r="27" spans="1:256" x14ac:dyDescent="0.25">
      <c r="A27" s="39" t="s">
        <v>57</v>
      </c>
      <c r="B27" s="43">
        <f>SUM(B25:E25)</f>
        <v>861532</v>
      </c>
      <c r="E27" s="102" t="s">
        <v>47</v>
      </c>
      <c r="F27" s="103"/>
      <c r="G27" s="103"/>
      <c r="H27" s="103"/>
      <c r="I27" s="104"/>
    </row>
    <row r="28" spans="1:256" x14ac:dyDescent="0.25">
      <c r="E28" s="50"/>
      <c r="F28" s="51"/>
      <c r="G28" s="52"/>
      <c r="H28" s="52"/>
      <c r="I28" s="53"/>
    </row>
    <row r="29" spans="1:256" x14ac:dyDescent="0.25">
      <c r="A29" s="48" t="s">
        <v>61</v>
      </c>
      <c r="B29" s="43">
        <f>B15+B27</f>
        <v>1193349</v>
      </c>
      <c r="E29" s="109" t="str">
        <f>'Instructions &amp; Summary'!$A$18</f>
        <v>SAMPLE - Bidder "X"- NOT TO BE USED FOR BID SUBMITTAL</v>
      </c>
      <c r="F29" s="110"/>
      <c r="G29" s="110"/>
      <c r="H29" s="110"/>
      <c r="I29" s="111"/>
    </row>
    <row r="30" spans="1:256" x14ac:dyDescent="0.25">
      <c r="E30" s="109" t="str">
        <f>'Instructions &amp; Summary'!$A$19</f>
        <v>Bidder "X"</v>
      </c>
      <c r="F30" s="110"/>
      <c r="G30" s="110"/>
      <c r="H30" s="110"/>
      <c r="I30" s="111"/>
    </row>
    <row r="31" spans="1:256" ht="12.75" customHeight="1" x14ac:dyDescent="0.25">
      <c r="A31" s="48" t="str">
        <f>A3</f>
        <v>UI SS Tranche 8</v>
      </c>
      <c r="B31" s="38" t="s">
        <v>62</v>
      </c>
      <c r="C31" s="38" t="s">
        <v>46</v>
      </c>
      <c r="E31" s="105" t="str">
        <f>B3</f>
        <v>July 1, 2027 through December 31, 2027 - 10% of the SS TOTAL load</v>
      </c>
      <c r="F31" s="113"/>
      <c r="G31" s="113"/>
      <c r="H31" s="113"/>
      <c r="I31" s="114"/>
    </row>
    <row r="32" spans="1:256" ht="12.75" customHeight="1" x14ac:dyDescent="0.25">
      <c r="A32" s="49" t="s">
        <v>58</v>
      </c>
      <c r="B32" s="61">
        <f>N13</f>
        <v>0</v>
      </c>
      <c r="C32" s="62">
        <f>ROUND(B32/B15,2)</f>
        <v>0</v>
      </c>
    </row>
    <row r="33" spans="1:8" ht="12.75" customHeight="1" x14ac:dyDescent="0.25">
      <c r="A33" s="49" t="s">
        <v>59</v>
      </c>
      <c r="B33" s="61">
        <f>N25</f>
        <v>0</v>
      </c>
      <c r="C33" s="62">
        <f>ROUND(B33/B27,2)</f>
        <v>0</v>
      </c>
      <c r="D33" s="7"/>
    </row>
    <row r="34" spans="1:8" ht="12.75" customHeight="1" x14ac:dyDescent="0.25">
      <c r="A34" s="55" t="s">
        <v>60</v>
      </c>
      <c r="B34" s="63">
        <f>SUM(B32:B33)</f>
        <v>0</v>
      </c>
      <c r="C34" s="64">
        <f>ROUND(B34/B29,2)</f>
        <v>0</v>
      </c>
    </row>
    <row r="35" spans="1:8" ht="30" customHeight="1" x14ac:dyDescent="0.25">
      <c r="A35" s="45"/>
      <c r="B35" s="46"/>
      <c r="C35" s="47"/>
    </row>
    <row r="36" spans="1:8" x14ac:dyDescent="0.25">
      <c r="A36" s="45"/>
      <c r="B36" s="46"/>
      <c r="C36" s="47"/>
      <c r="H36" s="32"/>
    </row>
  </sheetData>
  <mergeCells count="13">
    <mergeCell ref="A1:N1"/>
    <mergeCell ref="J17:N17"/>
    <mergeCell ref="E27:I27"/>
    <mergeCell ref="A5:A6"/>
    <mergeCell ref="B5:E5"/>
    <mergeCell ref="F5:I5"/>
    <mergeCell ref="J5:N5"/>
    <mergeCell ref="E29:I29"/>
    <mergeCell ref="E30:I30"/>
    <mergeCell ref="E31:I31"/>
    <mergeCell ref="A17:A18"/>
    <mergeCell ref="B17:E17"/>
    <mergeCell ref="F17:I17"/>
  </mergeCells>
  <pageMargins left="0.7" right="0.7" top="0.75" bottom="0.75" header="0.3" footer="0.3"/>
  <pageSetup scale="6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68"/>
  <sheetViews>
    <sheetView view="pageLayout" zoomScaleNormal="100" workbookViewId="0">
      <selection activeCell="A27" sqref="A27:F27"/>
    </sheetView>
  </sheetViews>
  <sheetFormatPr defaultRowHeight="15" x14ac:dyDescent="0.25"/>
  <cols>
    <col min="1" max="5" width="16.140625" customWidth="1"/>
  </cols>
  <sheetData>
    <row r="1" spans="1:5" ht="12.75" customHeight="1" x14ac:dyDescent="0.25">
      <c r="A1" s="118" t="s">
        <v>74</v>
      </c>
      <c r="B1" s="118"/>
      <c r="C1" s="118"/>
      <c r="D1" s="118"/>
      <c r="E1" s="118"/>
    </row>
    <row r="2" spans="1:5" ht="12.75" customHeight="1" x14ac:dyDescent="0.25">
      <c r="A2" s="116" t="s">
        <v>75</v>
      </c>
      <c r="B2" s="116"/>
      <c r="C2" s="116"/>
      <c r="D2" s="116"/>
      <c r="E2" s="116"/>
    </row>
    <row r="3" spans="1:5" ht="12.75" customHeight="1" x14ac:dyDescent="0.25">
      <c r="A3" s="68" t="s">
        <v>14</v>
      </c>
      <c r="B3" s="68" t="s">
        <v>41</v>
      </c>
      <c r="C3" s="68" t="s">
        <v>42</v>
      </c>
      <c r="D3" s="68" t="s">
        <v>15</v>
      </c>
      <c r="E3" s="68" t="s">
        <v>43</v>
      </c>
    </row>
    <row r="4" spans="1:5" ht="12.75" customHeight="1" x14ac:dyDescent="0.25">
      <c r="A4" s="69">
        <f>IF('Instructions &amp; Summary'!$E$3="1H",DATE('Instructions &amp; Summary'!$F$3,1,1),DATE('Instructions &amp; Summary'!$F$3,7,1))</f>
        <v>46388</v>
      </c>
      <c r="B4" s="70">
        <f>'Tranche 1'!F7</f>
        <v>0</v>
      </c>
      <c r="C4" s="70">
        <f>'Tranche 1'!G7</f>
        <v>0</v>
      </c>
      <c r="D4" s="70">
        <f>'Tranche 1'!H7</f>
        <v>0</v>
      </c>
      <c r="E4" s="68" t="str">
        <f>'Tranche 1'!I7</f>
        <v>N/A</v>
      </c>
    </row>
    <row r="5" spans="1:5" ht="12.75" customHeight="1" x14ac:dyDescent="0.25">
      <c r="A5" s="69">
        <f>IF('Instructions &amp; Summary'!$E$3="1H",DATE('Instructions &amp; Summary'!$F$3,2,1),DATE('Instructions &amp; Summary'!$F$3,8,1))</f>
        <v>46419</v>
      </c>
      <c r="B5" s="70">
        <f>'Tranche 1'!F8</f>
        <v>0</v>
      </c>
      <c r="C5" s="70">
        <f>'Tranche 1'!G8</f>
        <v>0</v>
      </c>
      <c r="D5" s="70">
        <f>'Tranche 1'!H8</f>
        <v>0</v>
      </c>
      <c r="E5" s="68" t="str">
        <f>'Tranche 1'!I8</f>
        <v>N/A</v>
      </c>
    </row>
    <row r="6" spans="1:5" ht="12.75" customHeight="1" x14ac:dyDescent="0.25">
      <c r="A6" s="69">
        <f>IF('Instructions &amp; Summary'!$E$3="1H",DATE('Instructions &amp; Summary'!$F$3,3,1),DATE('Instructions &amp; Summary'!$F$3,9,1))</f>
        <v>46447</v>
      </c>
      <c r="B6" s="70">
        <f>'Tranche 1'!F9</f>
        <v>0</v>
      </c>
      <c r="C6" s="70">
        <f>'Tranche 1'!G9</f>
        <v>0</v>
      </c>
      <c r="D6" s="70">
        <f>'Tranche 1'!H9</f>
        <v>0</v>
      </c>
      <c r="E6" s="68" t="str">
        <f>'Tranche 1'!I9</f>
        <v>N/A</v>
      </c>
    </row>
    <row r="7" spans="1:5" ht="12.75" customHeight="1" x14ac:dyDescent="0.25">
      <c r="A7" s="69">
        <f>IF('Instructions &amp; Summary'!$E$3="1H",DATE('Instructions &amp; Summary'!$F$3,4,1),DATE('Instructions &amp; Summary'!$F$3,10,1))</f>
        <v>46478</v>
      </c>
      <c r="B7" s="70">
        <f>'Tranche 1'!F10</f>
        <v>0</v>
      </c>
      <c r="C7" s="70">
        <f>'Tranche 1'!G10</f>
        <v>0</v>
      </c>
      <c r="D7" s="70">
        <f>'Tranche 1'!H10</f>
        <v>0</v>
      </c>
      <c r="E7" s="68" t="str">
        <f>'Tranche 1'!I10</f>
        <v>N/A</v>
      </c>
    </row>
    <row r="8" spans="1:5" ht="12.75" customHeight="1" x14ac:dyDescent="0.25">
      <c r="A8" s="69">
        <f>IF('Instructions &amp; Summary'!$E$3="1H",DATE('Instructions &amp; Summary'!$F$3,5,1),DATE('Instructions &amp; Summary'!$F$3,11,1))</f>
        <v>46508</v>
      </c>
      <c r="B8" s="70">
        <f>'Tranche 1'!F11</f>
        <v>0</v>
      </c>
      <c r="C8" s="70">
        <f>'Tranche 1'!G11</f>
        <v>0</v>
      </c>
      <c r="D8" s="70">
        <f>'Tranche 1'!H11</f>
        <v>0</v>
      </c>
      <c r="E8" s="68" t="str">
        <f>'Tranche 1'!I11</f>
        <v>N/A</v>
      </c>
    </row>
    <row r="9" spans="1:5" ht="12.75" customHeight="1" x14ac:dyDescent="0.25">
      <c r="A9" s="69">
        <f>IF('Instructions &amp; Summary'!$E$3="1H",DATE('Instructions &amp; Summary'!$F$3,6,1),DATE('Instructions &amp; Summary'!$F$3,12,1))</f>
        <v>46539</v>
      </c>
      <c r="B9" s="70">
        <f>'Tranche 1'!F12</f>
        <v>0</v>
      </c>
      <c r="C9" s="70">
        <f>'Tranche 1'!G12</f>
        <v>0</v>
      </c>
      <c r="D9" s="70">
        <f>'Tranche 1'!H12</f>
        <v>0</v>
      </c>
      <c r="E9" s="68" t="str">
        <f>'Tranche 1'!I12</f>
        <v>N/A</v>
      </c>
    </row>
    <row r="10" spans="1:5" ht="12.75" customHeight="1" x14ac:dyDescent="0.25">
      <c r="A10" s="117" t="s">
        <v>76</v>
      </c>
      <c r="B10" s="117"/>
      <c r="C10" s="117"/>
      <c r="D10" s="117"/>
      <c r="E10" s="117"/>
    </row>
    <row r="11" spans="1:5" ht="12.75" customHeight="1" x14ac:dyDescent="0.25">
      <c r="A11" s="68" t="s">
        <v>14</v>
      </c>
      <c r="B11" s="68" t="s">
        <v>41</v>
      </c>
      <c r="C11" s="68" t="s">
        <v>42</v>
      </c>
      <c r="D11" s="68" t="s">
        <v>15</v>
      </c>
      <c r="E11" s="68" t="s">
        <v>43</v>
      </c>
    </row>
    <row r="12" spans="1:5" ht="12.75" customHeight="1" x14ac:dyDescent="0.25">
      <c r="A12" s="69">
        <f>IF('Instructions &amp; Summary'!$E$3="1H",DATE('Instructions &amp; Summary'!$F$3,1,1),DATE('Instructions &amp; Summary'!$F$3,7,1))</f>
        <v>46388</v>
      </c>
      <c r="B12" s="70">
        <f>'Tranche 1'!F19</f>
        <v>0</v>
      </c>
      <c r="C12" s="70">
        <f>'Tranche 1'!G19</f>
        <v>0</v>
      </c>
      <c r="D12" s="70">
        <f>'Tranche 1'!H19</f>
        <v>0</v>
      </c>
      <c r="E12" s="70">
        <f>'Tranche 1'!I19</f>
        <v>0</v>
      </c>
    </row>
    <row r="13" spans="1:5" ht="12.75" customHeight="1" x14ac:dyDescent="0.25">
      <c r="A13" s="69">
        <f>IF('Instructions &amp; Summary'!$E$3="1H",DATE('Instructions &amp; Summary'!$F$3,2,1),DATE('Instructions &amp; Summary'!$F$3,8,1))</f>
        <v>46419</v>
      </c>
      <c r="B13" s="70">
        <f>'Tranche 1'!F20</f>
        <v>0</v>
      </c>
      <c r="C13" s="70">
        <f>'Tranche 1'!G20</f>
        <v>0</v>
      </c>
      <c r="D13" s="70">
        <f>'Tranche 1'!H20</f>
        <v>0</v>
      </c>
      <c r="E13" s="70">
        <f>'Tranche 1'!I20</f>
        <v>0</v>
      </c>
    </row>
    <row r="14" spans="1:5" ht="12.75" customHeight="1" x14ac:dyDescent="0.25">
      <c r="A14" s="69">
        <f>IF('Instructions &amp; Summary'!$E$3="1H",DATE('Instructions &amp; Summary'!$F$3,3,1),DATE('Instructions &amp; Summary'!$F$3,9,1))</f>
        <v>46447</v>
      </c>
      <c r="B14" s="70">
        <f>'Tranche 1'!F21</f>
        <v>0</v>
      </c>
      <c r="C14" s="70">
        <f>'Tranche 1'!G21</f>
        <v>0</v>
      </c>
      <c r="D14" s="70">
        <f>'Tranche 1'!H21</f>
        <v>0</v>
      </c>
      <c r="E14" s="70">
        <f>'Tranche 1'!I21</f>
        <v>0</v>
      </c>
    </row>
    <row r="15" spans="1:5" ht="12.75" customHeight="1" x14ac:dyDescent="0.25">
      <c r="A15" s="69">
        <f>IF('Instructions &amp; Summary'!$E$3="1H",DATE('Instructions &amp; Summary'!$F$3,4,1),DATE('Instructions &amp; Summary'!$F$3,10,1))</f>
        <v>46478</v>
      </c>
      <c r="B15" s="70">
        <f>'Tranche 1'!F22</f>
        <v>0</v>
      </c>
      <c r="C15" s="70">
        <f>'Tranche 1'!G22</f>
        <v>0</v>
      </c>
      <c r="D15" s="70">
        <f>'Tranche 1'!H22</f>
        <v>0</v>
      </c>
      <c r="E15" s="70">
        <f>'Tranche 1'!I22</f>
        <v>0</v>
      </c>
    </row>
    <row r="16" spans="1:5" ht="12.75" customHeight="1" x14ac:dyDescent="0.25">
      <c r="A16" s="69">
        <f>IF('Instructions &amp; Summary'!$E$3="1H",DATE('Instructions &amp; Summary'!$F$3,5,1),DATE('Instructions &amp; Summary'!$F$3,11,1))</f>
        <v>46508</v>
      </c>
      <c r="B16" s="70">
        <f>'Tranche 1'!F23</f>
        <v>0</v>
      </c>
      <c r="C16" s="70">
        <f>'Tranche 1'!G23</f>
        <v>0</v>
      </c>
      <c r="D16" s="70">
        <f>'Tranche 1'!H23</f>
        <v>0</v>
      </c>
      <c r="E16" s="70">
        <f>'Tranche 1'!I23</f>
        <v>0</v>
      </c>
    </row>
    <row r="17" spans="1:5" ht="12.75" customHeight="1" x14ac:dyDescent="0.25">
      <c r="A17" s="69">
        <f>IF('Instructions &amp; Summary'!$E$3="1H",DATE('Instructions &amp; Summary'!$F$3,6,1),DATE('Instructions &amp; Summary'!$F$3,12,1))</f>
        <v>46539</v>
      </c>
      <c r="B17" s="70">
        <f>'Tranche 1'!F24</f>
        <v>0</v>
      </c>
      <c r="C17" s="70">
        <f>'Tranche 1'!G24</f>
        <v>0</v>
      </c>
      <c r="D17" s="70">
        <f>'Tranche 1'!H24</f>
        <v>0</v>
      </c>
      <c r="E17" s="70">
        <f>'Tranche 1'!I24</f>
        <v>0</v>
      </c>
    </row>
    <row r="18" spans="1:5" ht="12.75" customHeight="1" x14ac:dyDescent="0.25">
      <c r="A18" s="115" t="s">
        <v>77</v>
      </c>
      <c r="B18" s="115"/>
      <c r="C18" s="115"/>
      <c r="D18" s="115"/>
      <c r="E18" s="115"/>
    </row>
    <row r="19" spans="1:5" ht="12.75" customHeight="1" x14ac:dyDescent="0.25">
      <c r="A19" s="116" t="s">
        <v>75</v>
      </c>
      <c r="B19" s="116"/>
      <c r="C19" s="116"/>
      <c r="D19" s="116"/>
      <c r="E19" s="116"/>
    </row>
    <row r="20" spans="1:5" ht="12.75" customHeight="1" x14ac:dyDescent="0.25">
      <c r="A20" s="68" t="s">
        <v>14</v>
      </c>
      <c r="B20" s="68" t="s">
        <v>41</v>
      </c>
      <c r="C20" s="68" t="s">
        <v>42</v>
      </c>
      <c r="D20" s="68" t="s">
        <v>15</v>
      </c>
      <c r="E20" s="68" t="s">
        <v>43</v>
      </c>
    </row>
    <row r="21" spans="1:5" ht="12.75" customHeight="1" x14ac:dyDescent="0.25">
      <c r="A21" s="69">
        <f>IF('Instructions &amp; Summary'!$E$3="1H",DATE('Instructions &amp; Summary'!$F$3,1,1),DATE('Instructions &amp; Summary'!$F$3,7,1))</f>
        <v>46388</v>
      </c>
      <c r="B21" s="70">
        <f>'Tranche 2'!F7</f>
        <v>0</v>
      </c>
      <c r="C21" s="70">
        <f>'Tranche 2'!G7</f>
        <v>0</v>
      </c>
      <c r="D21" s="70">
        <f>'Tranche 2'!H7</f>
        <v>0</v>
      </c>
      <c r="E21" s="70" t="str">
        <f>'Tranche 2'!I7</f>
        <v>N/A</v>
      </c>
    </row>
    <row r="22" spans="1:5" ht="12.75" customHeight="1" x14ac:dyDescent="0.25">
      <c r="A22" s="69">
        <f>IF('Instructions &amp; Summary'!$E$3="1H",DATE('Instructions &amp; Summary'!$F$3,2,1),DATE('Instructions &amp; Summary'!$F$3,8,1))</f>
        <v>46419</v>
      </c>
      <c r="B22" s="70">
        <f>'Tranche 2'!F8</f>
        <v>0</v>
      </c>
      <c r="C22" s="70">
        <f>'Tranche 2'!G8</f>
        <v>0</v>
      </c>
      <c r="D22" s="70">
        <f>'Tranche 2'!H8</f>
        <v>0</v>
      </c>
      <c r="E22" s="70" t="str">
        <f>'Tranche 2'!I8</f>
        <v>N/A</v>
      </c>
    </row>
    <row r="23" spans="1:5" ht="12.75" customHeight="1" x14ac:dyDescent="0.25">
      <c r="A23" s="69">
        <f>IF('Instructions &amp; Summary'!$E$3="1H",DATE('Instructions &amp; Summary'!$F$3,3,1),DATE('Instructions &amp; Summary'!$F$3,9,1))</f>
        <v>46447</v>
      </c>
      <c r="B23" s="70">
        <f>'Tranche 2'!F9</f>
        <v>0</v>
      </c>
      <c r="C23" s="70">
        <f>'Tranche 2'!G9</f>
        <v>0</v>
      </c>
      <c r="D23" s="70">
        <f>'Tranche 2'!H9</f>
        <v>0</v>
      </c>
      <c r="E23" s="70" t="str">
        <f>'Tranche 2'!I9</f>
        <v>N/A</v>
      </c>
    </row>
    <row r="24" spans="1:5" ht="12.75" customHeight="1" x14ac:dyDescent="0.25">
      <c r="A24" s="69">
        <f>IF('Instructions &amp; Summary'!$E$3="1H",DATE('Instructions &amp; Summary'!$F$3,4,1),DATE('Instructions &amp; Summary'!$F$3,10,1))</f>
        <v>46478</v>
      </c>
      <c r="B24" s="70">
        <f>'Tranche 2'!F10</f>
        <v>0</v>
      </c>
      <c r="C24" s="70">
        <f>'Tranche 2'!G10</f>
        <v>0</v>
      </c>
      <c r="D24" s="70">
        <f>'Tranche 2'!H10</f>
        <v>0</v>
      </c>
      <c r="E24" s="70" t="str">
        <f>'Tranche 2'!I10</f>
        <v>N/A</v>
      </c>
    </row>
    <row r="25" spans="1:5" ht="12.75" customHeight="1" x14ac:dyDescent="0.25">
      <c r="A25" s="69">
        <f>IF('Instructions &amp; Summary'!$E$3="1H",DATE('Instructions &amp; Summary'!$F$3,5,1),DATE('Instructions &amp; Summary'!$F$3,11,1))</f>
        <v>46508</v>
      </c>
      <c r="B25" s="70">
        <f>'Tranche 2'!F11</f>
        <v>0</v>
      </c>
      <c r="C25" s="70">
        <f>'Tranche 2'!G11</f>
        <v>0</v>
      </c>
      <c r="D25" s="70">
        <f>'Tranche 2'!H11</f>
        <v>0</v>
      </c>
      <c r="E25" s="70" t="str">
        <f>'Tranche 2'!I11</f>
        <v>N/A</v>
      </c>
    </row>
    <row r="26" spans="1:5" ht="12.75" customHeight="1" x14ac:dyDescent="0.25">
      <c r="A26" s="69">
        <f>IF('Instructions &amp; Summary'!$E$3="1H",DATE('Instructions &amp; Summary'!$F$3,6,1),DATE('Instructions &amp; Summary'!$F$3,12,1))</f>
        <v>46539</v>
      </c>
      <c r="B26" s="70">
        <f>'Tranche 2'!F12</f>
        <v>0</v>
      </c>
      <c r="C26" s="70">
        <f>'Tranche 2'!G12</f>
        <v>0</v>
      </c>
      <c r="D26" s="70">
        <f>'Tranche 2'!H12</f>
        <v>0</v>
      </c>
      <c r="E26" s="70" t="str">
        <f>'Tranche 2'!I12</f>
        <v>N/A</v>
      </c>
    </row>
    <row r="27" spans="1:5" ht="12.75" customHeight="1" x14ac:dyDescent="0.25">
      <c r="A27" s="117" t="s">
        <v>76</v>
      </c>
      <c r="B27" s="117"/>
      <c r="C27" s="117"/>
      <c r="D27" s="117"/>
      <c r="E27" s="117"/>
    </row>
    <row r="28" spans="1:5" ht="12.75" customHeight="1" x14ac:dyDescent="0.25">
      <c r="A28" s="68" t="s">
        <v>14</v>
      </c>
      <c r="B28" s="68" t="s">
        <v>41</v>
      </c>
      <c r="C28" s="68" t="s">
        <v>42</v>
      </c>
      <c r="D28" s="68" t="s">
        <v>15</v>
      </c>
      <c r="E28" s="68" t="s">
        <v>43</v>
      </c>
    </row>
    <row r="29" spans="1:5" ht="12.75" customHeight="1" x14ac:dyDescent="0.25">
      <c r="A29" s="69">
        <f>IF('Instructions &amp; Summary'!$E$3="1H",DATE('Instructions &amp; Summary'!$F$3,1,1),DATE('Instructions &amp; Summary'!$F$3,7,1))</f>
        <v>46388</v>
      </c>
      <c r="B29" s="70">
        <f>'Tranche 2'!F19</f>
        <v>0</v>
      </c>
      <c r="C29" s="70">
        <f>'Tranche 2'!G19</f>
        <v>0</v>
      </c>
      <c r="D29" s="70">
        <f>'Tranche 2'!H19</f>
        <v>0</v>
      </c>
      <c r="E29" s="70">
        <f>'Tranche 2'!I19</f>
        <v>0</v>
      </c>
    </row>
    <row r="30" spans="1:5" ht="12.75" customHeight="1" x14ac:dyDescent="0.25">
      <c r="A30" s="69">
        <f>IF('Instructions &amp; Summary'!$E$3="1H",DATE('Instructions &amp; Summary'!$F$3,2,1),DATE('Instructions &amp; Summary'!$F$3,8,1))</f>
        <v>46419</v>
      </c>
      <c r="B30" s="70">
        <f>'Tranche 2'!F20</f>
        <v>0</v>
      </c>
      <c r="C30" s="70">
        <f>'Tranche 2'!G20</f>
        <v>0</v>
      </c>
      <c r="D30" s="70">
        <f>'Tranche 2'!H20</f>
        <v>0</v>
      </c>
      <c r="E30" s="70">
        <f>'Tranche 2'!I20</f>
        <v>0</v>
      </c>
    </row>
    <row r="31" spans="1:5" ht="12.75" customHeight="1" x14ac:dyDescent="0.25">
      <c r="A31" s="69">
        <f>IF('Instructions &amp; Summary'!$E$3="1H",DATE('Instructions &amp; Summary'!$F$3,3,1),DATE('Instructions &amp; Summary'!$F$3,9,1))</f>
        <v>46447</v>
      </c>
      <c r="B31" s="70">
        <f>'Tranche 2'!F21</f>
        <v>0</v>
      </c>
      <c r="C31" s="70">
        <f>'Tranche 2'!G21</f>
        <v>0</v>
      </c>
      <c r="D31" s="70">
        <f>'Tranche 2'!H21</f>
        <v>0</v>
      </c>
      <c r="E31" s="70">
        <f>'Tranche 2'!I21</f>
        <v>0</v>
      </c>
    </row>
    <row r="32" spans="1:5" ht="12.75" customHeight="1" x14ac:dyDescent="0.25">
      <c r="A32" s="69">
        <f>IF('Instructions &amp; Summary'!$E$3="1H",DATE('Instructions &amp; Summary'!$F$3,4,1),DATE('Instructions &amp; Summary'!$F$3,10,1))</f>
        <v>46478</v>
      </c>
      <c r="B32" s="70">
        <f>'Tranche 2'!F22</f>
        <v>0</v>
      </c>
      <c r="C32" s="70">
        <f>'Tranche 2'!G22</f>
        <v>0</v>
      </c>
      <c r="D32" s="70">
        <f>'Tranche 2'!H22</f>
        <v>0</v>
      </c>
      <c r="E32" s="70">
        <f>'Tranche 2'!I22</f>
        <v>0</v>
      </c>
    </row>
    <row r="33" spans="1:5" ht="12.75" customHeight="1" x14ac:dyDescent="0.25">
      <c r="A33" s="69">
        <f>IF('Instructions &amp; Summary'!$E$3="1H",DATE('Instructions &amp; Summary'!$F$3,5,1),DATE('Instructions &amp; Summary'!$F$3,11,1))</f>
        <v>46508</v>
      </c>
      <c r="B33" s="70">
        <f>'Tranche 2'!F23</f>
        <v>0</v>
      </c>
      <c r="C33" s="70">
        <f>'Tranche 2'!G23</f>
        <v>0</v>
      </c>
      <c r="D33" s="70">
        <f>'Tranche 2'!H23</f>
        <v>0</v>
      </c>
      <c r="E33" s="70">
        <f>'Tranche 2'!I23</f>
        <v>0</v>
      </c>
    </row>
    <row r="34" spans="1:5" ht="12.75" customHeight="1" x14ac:dyDescent="0.25">
      <c r="A34" s="69">
        <f>IF('Instructions &amp; Summary'!$E$3="1H",DATE('Instructions &amp; Summary'!$F$3,6,1),DATE('Instructions &amp; Summary'!$F$3,12,1))</f>
        <v>46539</v>
      </c>
      <c r="B34" s="70">
        <f>'Tranche 2'!F24</f>
        <v>0</v>
      </c>
      <c r="C34" s="70">
        <f>'Tranche 2'!G24</f>
        <v>0</v>
      </c>
      <c r="D34" s="70">
        <f>'Tranche 2'!H24</f>
        <v>0</v>
      </c>
      <c r="E34" s="70">
        <f>'Tranche 2'!I24</f>
        <v>0</v>
      </c>
    </row>
    <row r="35" spans="1:5" ht="12.75" customHeight="1" x14ac:dyDescent="0.25">
      <c r="A35" s="115" t="s">
        <v>78</v>
      </c>
      <c r="B35" s="115"/>
      <c r="C35" s="115"/>
      <c r="D35" s="115"/>
      <c r="E35" s="115"/>
    </row>
    <row r="36" spans="1:5" ht="12.75" customHeight="1" x14ac:dyDescent="0.25">
      <c r="A36" s="116" t="s">
        <v>75</v>
      </c>
      <c r="B36" s="116"/>
      <c r="C36" s="116"/>
      <c r="D36" s="116"/>
      <c r="E36" s="116"/>
    </row>
    <row r="37" spans="1:5" ht="12.75" customHeight="1" x14ac:dyDescent="0.25">
      <c r="A37" s="68" t="s">
        <v>14</v>
      </c>
      <c r="B37" s="68" t="s">
        <v>41</v>
      </c>
      <c r="C37" s="68" t="s">
        <v>42</v>
      </c>
      <c r="D37" s="68" t="s">
        <v>15</v>
      </c>
      <c r="E37" s="68" t="s">
        <v>43</v>
      </c>
    </row>
    <row r="38" spans="1:5" ht="12.75" customHeight="1" x14ac:dyDescent="0.25">
      <c r="A38" s="69">
        <f>IF('Instructions &amp; Summary'!$E$3="1H",DATE('Instructions &amp; Summary'!$F$3,1,1),DATE('Instructions &amp; Summary'!$F$3,7,1))</f>
        <v>46388</v>
      </c>
      <c r="B38" s="70">
        <f>'Tranche 3'!F7</f>
        <v>0</v>
      </c>
      <c r="C38" s="70">
        <f>'Tranche 3'!G7</f>
        <v>0</v>
      </c>
      <c r="D38" s="70">
        <f>'Tranche 3'!H7</f>
        <v>0</v>
      </c>
      <c r="E38" s="70" t="str">
        <f>'Tranche 3'!I7</f>
        <v>N/A</v>
      </c>
    </row>
    <row r="39" spans="1:5" ht="12.75" customHeight="1" x14ac:dyDescent="0.25">
      <c r="A39" s="69">
        <f>IF('Instructions &amp; Summary'!$E$3="1H",DATE('Instructions &amp; Summary'!$F$3,2,1),DATE('Instructions &amp; Summary'!$F$3,8,1))</f>
        <v>46419</v>
      </c>
      <c r="B39" s="70">
        <f>'Tranche 3'!F8</f>
        <v>0</v>
      </c>
      <c r="C39" s="70">
        <f>'Tranche 3'!G8</f>
        <v>0</v>
      </c>
      <c r="D39" s="70">
        <f>'Tranche 3'!H8</f>
        <v>0</v>
      </c>
      <c r="E39" s="70" t="str">
        <f>'Tranche 3'!I8</f>
        <v>N/A</v>
      </c>
    </row>
    <row r="40" spans="1:5" ht="12.75" customHeight="1" x14ac:dyDescent="0.25">
      <c r="A40" s="69">
        <f>IF('Instructions &amp; Summary'!$E$3="1H",DATE('Instructions &amp; Summary'!$F$3,3,1),DATE('Instructions &amp; Summary'!$F$3,9,1))</f>
        <v>46447</v>
      </c>
      <c r="B40" s="70">
        <f>'Tranche 3'!F9</f>
        <v>0</v>
      </c>
      <c r="C40" s="70">
        <f>'Tranche 3'!G9</f>
        <v>0</v>
      </c>
      <c r="D40" s="70">
        <f>'Tranche 3'!H9</f>
        <v>0</v>
      </c>
      <c r="E40" s="70" t="str">
        <f>'Tranche 3'!I9</f>
        <v>N/A</v>
      </c>
    </row>
    <row r="41" spans="1:5" ht="12.75" customHeight="1" x14ac:dyDescent="0.25">
      <c r="A41" s="69">
        <f>IF('Instructions &amp; Summary'!$E$3="1H",DATE('Instructions &amp; Summary'!$F$3,4,1),DATE('Instructions &amp; Summary'!$F$3,10,1))</f>
        <v>46478</v>
      </c>
      <c r="B41" s="70">
        <f>'Tranche 3'!F10</f>
        <v>0</v>
      </c>
      <c r="C41" s="70">
        <f>'Tranche 3'!G10</f>
        <v>0</v>
      </c>
      <c r="D41" s="70">
        <f>'Tranche 3'!H10</f>
        <v>0</v>
      </c>
      <c r="E41" s="70" t="str">
        <f>'Tranche 3'!I10</f>
        <v>N/A</v>
      </c>
    </row>
    <row r="42" spans="1:5" ht="12.75" customHeight="1" x14ac:dyDescent="0.25">
      <c r="A42" s="69">
        <f>IF('Instructions &amp; Summary'!$E$3="1H",DATE('Instructions &amp; Summary'!$F$3,5,1),DATE('Instructions &amp; Summary'!$F$3,11,1))</f>
        <v>46508</v>
      </c>
      <c r="B42" s="70">
        <f>'Tranche 3'!F11</f>
        <v>0</v>
      </c>
      <c r="C42" s="70">
        <f>'Tranche 3'!G11</f>
        <v>0</v>
      </c>
      <c r="D42" s="70">
        <f>'Tranche 3'!H11</f>
        <v>0</v>
      </c>
      <c r="E42" s="70" t="str">
        <f>'Tranche 3'!I11</f>
        <v>N/A</v>
      </c>
    </row>
    <row r="43" spans="1:5" ht="12.75" customHeight="1" x14ac:dyDescent="0.25">
      <c r="A43" s="69">
        <f>IF('Instructions &amp; Summary'!$E$3="1H",DATE('Instructions &amp; Summary'!$F$3,6,1),DATE('Instructions &amp; Summary'!$F$3,12,1))</f>
        <v>46539</v>
      </c>
      <c r="B43" s="70">
        <f>'Tranche 3'!F12</f>
        <v>0</v>
      </c>
      <c r="C43" s="70">
        <f>'Tranche 3'!G12</f>
        <v>0</v>
      </c>
      <c r="D43" s="70">
        <f>'Tranche 3'!H12</f>
        <v>0</v>
      </c>
      <c r="E43" s="70" t="str">
        <f>'Tranche 3'!I12</f>
        <v>N/A</v>
      </c>
    </row>
    <row r="44" spans="1:5" ht="12.75" customHeight="1" x14ac:dyDescent="0.25">
      <c r="A44" s="117" t="s">
        <v>76</v>
      </c>
      <c r="B44" s="117"/>
      <c r="C44" s="117"/>
      <c r="D44" s="117"/>
      <c r="E44" s="117"/>
    </row>
    <row r="45" spans="1:5" ht="12.75" customHeight="1" x14ac:dyDescent="0.25">
      <c r="A45" s="68" t="s">
        <v>14</v>
      </c>
      <c r="B45" s="68" t="s">
        <v>41</v>
      </c>
      <c r="C45" s="68" t="s">
        <v>42</v>
      </c>
      <c r="D45" s="68" t="s">
        <v>15</v>
      </c>
      <c r="E45" s="68" t="s">
        <v>43</v>
      </c>
    </row>
    <row r="46" spans="1:5" ht="12.75" customHeight="1" x14ac:dyDescent="0.25">
      <c r="A46" s="69">
        <f>IF('Instructions &amp; Summary'!$E$3="1H",DATE('Instructions &amp; Summary'!$F$3,1,1),DATE('Instructions &amp; Summary'!$F$3,7,1))</f>
        <v>46388</v>
      </c>
      <c r="B46" s="70">
        <f>'Tranche 3'!F19</f>
        <v>0</v>
      </c>
      <c r="C46" s="70">
        <f>'Tranche 3'!G19</f>
        <v>0</v>
      </c>
      <c r="D46" s="70">
        <f>'Tranche 3'!H19</f>
        <v>0</v>
      </c>
      <c r="E46" s="70">
        <f>'Tranche 3'!I19</f>
        <v>0</v>
      </c>
    </row>
    <row r="47" spans="1:5" ht="12.75" customHeight="1" x14ac:dyDescent="0.25">
      <c r="A47" s="69">
        <f>IF('Instructions &amp; Summary'!$E$3="1H",DATE('Instructions &amp; Summary'!$F$3,2,1),DATE('Instructions &amp; Summary'!$F$3,8,1))</f>
        <v>46419</v>
      </c>
      <c r="B47" s="70">
        <f>'Tranche 3'!F20</f>
        <v>0</v>
      </c>
      <c r="C47" s="70">
        <f>'Tranche 3'!G20</f>
        <v>0</v>
      </c>
      <c r="D47" s="70">
        <f>'Tranche 3'!H20</f>
        <v>0</v>
      </c>
      <c r="E47" s="70">
        <f>'Tranche 3'!I20</f>
        <v>0</v>
      </c>
    </row>
    <row r="48" spans="1:5" ht="12.75" customHeight="1" x14ac:dyDescent="0.25">
      <c r="A48" s="69">
        <f>IF('Instructions &amp; Summary'!$E$3="1H",DATE('Instructions &amp; Summary'!$F$3,3,1),DATE('Instructions &amp; Summary'!$F$3,9,1))</f>
        <v>46447</v>
      </c>
      <c r="B48" s="70">
        <f>'Tranche 3'!F21</f>
        <v>0</v>
      </c>
      <c r="C48" s="70">
        <f>'Tranche 3'!G21</f>
        <v>0</v>
      </c>
      <c r="D48" s="70">
        <f>'Tranche 3'!H21</f>
        <v>0</v>
      </c>
      <c r="E48" s="70">
        <f>'Tranche 3'!I21</f>
        <v>0</v>
      </c>
    </row>
    <row r="49" spans="1:5" ht="12.75" customHeight="1" x14ac:dyDescent="0.25">
      <c r="A49" s="69">
        <f>IF('Instructions &amp; Summary'!$E$3="1H",DATE('Instructions &amp; Summary'!$F$3,4,1),DATE('Instructions &amp; Summary'!$F$3,10,1))</f>
        <v>46478</v>
      </c>
      <c r="B49" s="70">
        <f>'Tranche 3'!F22</f>
        <v>0</v>
      </c>
      <c r="C49" s="70">
        <f>'Tranche 3'!G22</f>
        <v>0</v>
      </c>
      <c r="D49" s="70">
        <f>'Tranche 3'!H22</f>
        <v>0</v>
      </c>
      <c r="E49" s="70">
        <f>'Tranche 3'!I22</f>
        <v>0</v>
      </c>
    </row>
    <row r="50" spans="1:5" ht="12.75" customHeight="1" x14ac:dyDescent="0.25">
      <c r="A50" s="69">
        <f>IF('Instructions &amp; Summary'!$E$3="1H",DATE('Instructions &amp; Summary'!$F$3,5,1),DATE('Instructions &amp; Summary'!$F$3,11,1))</f>
        <v>46508</v>
      </c>
      <c r="B50" s="70">
        <f>'Tranche 3'!F23</f>
        <v>0</v>
      </c>
      <c r="C50" s="70">
        <f>'Tranche 3'!G23</f>
        <v>0</v>
      </c>
      <c r="D50" s="70">
        <f>'Tranche 3'!H23</f>
        <v>0</v>
      </c>
      <c r="E50" s="70">
        <f>'Tranche 3'!I23</f>
        <v>0</v>
      </c>
    </row>
    <row r="51" spans="1:5" ht="12.75" customHeight="1" x14ac:dyDescent="0.25">
      <c r="A51" s="69">
        <f>IF('Instructions &amp; Summary'!$E$3="1H",DATE('Instructions &amp; Summary'!$F$3,6,1),DATE('Instructions &amp; Summary'!$F$3,12,1))</f>
        <v>46539</v>
      </c>
      <c r="B51" s="70">
        <f>'Tranche 3'!F24</f>
        <v>0</v>
      </c>
      <c r="C51" s="70">
        <f>'Tranche 3'!G24</f>
        <v>0</v>
      </c>
      <c r="D51" s="70">
        <f>'Tranche 3'!H24</f>
        <v>0</v>
      </c>
      <c r="E51" s="70">
        <f>'Tranche 3'!I24</f>
        <v>0</v>
      </c>
    </row>
    <row r="52" spans="1:5" ht="12.2" customHeight="1" x14ac:dyDescent="0.25">
      <c r="A52" s="115" t="s">
        <v>79</v>
      </c>
      <c r="B52" s="115"/>
      <c r="C52" s="115"/>
      <c r="D52" s="115"/>
      <c r="E52" s="115"/>
    </row>
    <row r="53" spans="1:5" ht="10.7" customHeight="1" x14ac:dyDescent="0.25">
      <c r="A53" s="116" t="s">
        <v>75</v>
      </c>
      <c r="B53" s="116"/>
      <c r="C53" s="116"/>
      <c r="D53" s="116"/>
      <c r="E53" s="116"/>
    </row>
    <row r="54" spans="1:5" ht="12.75" customHeight="1" x14ac:dyDescent="0.25">
      <c r="A54" s="68" t="s">
        <v>14</v>
      </c>
      <c r="B54" s="68" t="s">
        <v>41</v>
      </c>
      <c r="C54" s="68" t="s">
        <v>42</v>
      </c>
      <c r="D54" s="68" t="s">
        <v>15</v>
      </c>
      <c r="E54" s="68" t="s">
        <v>43</v>
      </c>
    </row>
    <row r="55" spans="1:5" ht="12.75" customHeight="1" x14ac:dyDescent="0.25">
      <c r="A55" s="69">
        <f>IF('Instructions &amp; Summary'!$E$3="1H",DATE('Instructions &amp; Summary'!$F$3,1,1),DATE('Instructions &amp; Summary'!$F$3,7,1))</f>
        <v>46388</v>
      </c>
      <c r="B55" s="70">
        <f>'Tranche 4'!F7</f>
        <v>0</v>
      </c>
      <c r="C55" s="70">
        <f>'Tranche 4'!G7</f>
        <v>0</v>
      </c>
      <c r="D55" s="70">
        <f>'Tranche 4'!H7</f>
        <v>0</v>
      </c>
      <c r="E55" s="70" t="str">
        <f>'Tranche 4'!I7</f>
        <v>N/A</v>
      </c>
    </row>
    <row r="56" spans="1:5" ht="12.75" customHeight="1" x14ac:dyDescent="0.25">
      <c r="A56" s="69">
        <f>IF('Instructions &amp; Summary'!$E$3="1H",DATE('Instructions &amp; Summary'!$F$3,2,1),DATE('Instructions &amp; Summary'!$F$3,8,1))</f>
        <v>46419</v>
      </c>
      <c r="B56" s="70">
        <f>'Tranche 4'!F8</f>
        <v>0</v>
      </c>
      <c r="C56" s="70">
        <f>'Tranche 4'!G8</f>
        <v>0</v>
      </c>
      <c r="D56" s="70">
        <f>'Tranche 4'!H8</f>
        <v>0</v>
      </c>
      <c r="E56" s="70" t="str">
        <f>'Tranche 4'!I8</f>
        <v>N/A</v>
      </c>
    </row>
    <row r="57" spans="1:5" ht="12.75" customHeight="1" x14ac:dyDescent="0.25">
      <c r="A57" s="69">
        <f>IF('Instructions &amp; Summary'!$E$3="1H",DATE('Instructions &amp; Summary'!$F$3,3,1),DATE('Instructions &amp; Summary'!$F$3,9,1))</f>
        <v>46447</v>
      </c>
      <c r="B57" s="70">
        <f>'Tranche 4'!F9</f>
        <v>0</v>
      </c>
      <c r="C57" s="70">
        <f>'Tranche 4'!G9</f>
        <v>0</v>
      </c>
      <c r="D57" s="70">
        <f>'Tranche 4'!H9</f>
        <v>0</v>
      </c>
      <c r="E57" s="70" t="str">
        <f>'Tranche 4'!I9</f>
        <v>N/A</v>
      </c>
    </row>
    <row r="58" spans="1:5" ht="12.75" customHeight="1" x14ac:dyDescent="0.25">
      <c r="A58" s="69">
        <f>IF('Instructions &amp; Summary'!$E$3="1H",DATE('Instructions &amp; Summary'!$F$3,4,1),DATE('Instructions &amp; Summary'!$F$3,10,1))</f>
        <v>46478</v>
      </c>
      <c r="B58" s="70">
        <f>'Tranche 4'!F10</f>
        <v>0</v>
      </c>
      <c r="C58" s="70">
        <f>'Tranche 4'!G10</f>
        <v>0</v>
      </c>
      <c r="D58" s="70">
        <f>'Tranche 4'!H10</f>
        <v>0</v>
      </c>
      <c r="E58" s="70" t="str">
        <f>'Tranche 4'!I10</f>
        <v>N/A</v>
      </c>
    </row>
    <row r="59" spans="1:5" ht="12.75" customHeight="1" x14ac:dyDescent="0.25">
      <c r="A59" s="69">
        <f>IF('Instructions &amp; Summary'!$E$3="1H",DATE('Instructions &amp; Summary'!$F$3,5,1),DATE('Instructions &amp; Summary'!$F$3,11,1))</f>
        <v>46508</v>
      </c>
      <c r="B59" s="70">
        <f>'Tranche 4'!F11</f>
        <v>0</v>
      </c>
      <c r="C59" s="70">
        <f>'Tranche 4'!G11</f>
        <v>0</v>
      </c>
      <c r="D59" s="70">
        <f>'Tranche 4'!H11</f>
        <v>0</v>
      </c>
      <c r="E59" s="70" t="str">
        <f>'Tranche 4'!I11</f>
        <v>N/A</v>
      </c>
    </row>
    <row r="60" spans="1:5" ht="12.75" customHeight="1" x14ac:dyDescent="0.25">
      <c r="A60" s="69">
        <f>IF('Instructions &amp; Summary'!$E$3="1H",DATE('Instructions &amp; Summary'!$F$3,6,1),DATE('Instructions &amp; Summary'!$F$3,12,1))</f>
        <v>46539</v>
      </c>
      <c r="B60" s="70">
        <f>'Tranche 4'!F12</f>
        <v>0</v>
      </c>
      <c r="C60" s="70">
        <f>'Tranche 4'!G12</f>
        <v>0</v>
      </c>
      <c r="D60" s="70">
        <f>'Tranche 4'!H12</f>
        <v>0</v>
      </c>
      <c r="E60" s="70" t="str">
        <f>'Tranche 4'!I12</f>
        <v>N/A</v>
      </c>
    </row>
    <row r="61" spans="1:5" ht="12.75" customHeight="1" x14ac:dyDescent="0.25">
      <c r="A61" s="117" t="s">
        <v>76</v>
      </c>
      <c r="B61" s="117"/>
      <c r="C61" s="117"/>
      <c r="D61" s="117"/>
      <c r="E61" s="117"/>
    </row>
    <row r="62" spans="1:5" ht="12.75" customHeight="1" x14ac:dyDescent="0.25">
      <c r="A62" s="68" t="s">
        <v>14</v>
      </c>
      <c r="B62" s="68" t="s">
        <v>41</v>
      </c>
      <c r="C62" s="68" t="s">
        <v>42</v>
      </c>
      <c r="D62" s="68" t="s">
        <v>15</v>
      </c>
      <c r="E62" s="68" t="s">
        <v>43</v>
      </c>
    </row>
    <row r="63" spans="1:5" ht="12.75" customHeight="1" x14ac:dyDescent="0.25">
      <c r="A63" s="69">
        <f>IF('Instructions &amp; Summary'!$E$3="1H",DATE('Instructions &amp; Summary'!$F$3,1,1),DATE('Instructions &amp; Summary'!$F$3,7,1))</f>
        <v>46388</v>
      </c>
      <c r="B63" s="70">
        <f>'Tranche 4'!F19</f>
        <v>0</v>
      </c>
      <c r="C63" s="70">
        <f>'Tranche 4'!G19</f>
        <v>0</v>
      </c>
      <c r="D63" s="70">
        <f>'Tranche 4'!H19</f>
        <v>0</v>
      </c>
      <c r="E63" s="70">
        <f>'Tranche 4'!I19</f>
        <v>0</v>
      </c>
    </row>
    <row r="64" spans="1:5" ht="12.75" customHeight="1" x14ac:dyDescent="0.25">
      <c r="A64" s="69">
        <f>IF('Instructions &amp; Summary'!$E$3="1H",DATE('Instructions &amp; Summary'!$F$3,2,1),DATE('Instructions &amp; Summary'!$F$3,8,1))</f>
        <v>46419</v>
      </c>
      <c r="B64" s="70">
        <f>'Tranche 4'!F20</f>
        <v>0</v>
      </c>
      <c r="C64" s="70">
        <f>'Tranche 4'!G20</f>
        <v>0</v>
      </c>
      <c r="D64" s="70">
        <f>'Tranche 4'!H20</f>
        <v>0</v>
      </c>
      <c r="E64" s="70">
        <f>'Tranche 4'!I20</f>
        <v>0</v>
      </c>
    </row>
    <row r="65" spans="1:5" ht="12.75" customHeight="1" x14ac:dyDescent="0.25">
      <c r="A65" s="69">
        <f>IF('Instructions &amp; Summary'!$E$3="1H",DATE('Instructions &amp; Summary'!$F$3,3,1),DATE('Instructions &amp; Summary'!$F$3,9,1))</f>
        <v>46447</v>
      </c>
      <c r="B65" s="70">
        <f>'Tranche 4'!F21</f>
        <v>0</v>
      </c>
      <c r="C65" s="70">
        <f>'Tranche 4'!G21</f>
        <v>0</v>
      </c>
      <c r="D65" s="70">
        <f>'Tranche 4'!H21</f>
        <v>0</v>
      </c>
      <c r="E65" s="70">
        <f>'Tranche 4'!I21</f>
        <v>0</v>
      </c>
    </row>
    <row r="66" spans="1:5" ht="12.75" customHeight="1" x14ac:dyDescent="0.25">
      <c r="A66" s="69">
        <f>IF('Instructions &amp; Summary'!$E$3="1H",DATE('Instructions &amp; Summary'!$F$3,4,1),DATE('Instructions &amp; Summary'!$F$3,10,1))</f>
        <v>46478</v>
      </c>
      <c r="B66" s="70">
        <f>'Tranche 4'!F22</f>
        <v>0</v>
      </c>
      <c r="C66" s="70">
        <f>'Tranche 4'!G22</f>
        <v>0</v>
      </c>
      <c r="D66" s="70">
        <f>'Tranche 4'!H22</f>
        <v>0</v>
      </c>
      <c r="E66" s="70">
        <f>'Tranche 4'!I22</f>
        <v>0</v>
      </c>
    </row>
    <row r="67" spans="1:5" ht="12.75" customHeight="1" x14ac:dyDescent="0.25">
      <c r="A67" s="69">
        <f>IF('Instructions &amp; Summary'!$E$3="1H",DATE('Instructions &amp; Summary'!$F$3,5,1),DATE('Instructions &amp; Summary'!$F$3,11,1))</f>
        <v>46508</v>
      </c>
      <c r="B67" s="70">
        <f>'Tranche 4'!F23</f>
        <v>0</v>
      </c>
      <c r="C67" s="70">
        <f>'Tranche 4'!G23</f>
        <v>0</v>
      </c>
      <c r="D67" s="70">
        <f>'Tranche 4'!H23</f>
        <v>0</v>
      </c>
      <c r="E67" s="70">
        <f>'Tranche 4'!I23</f>
        <v>0</v>
      </c>
    </row>
    <row r="68" spans="1:5" ht="12.75" customHeight="1" x14ac:dyDescent="0.25">
      <c r="A68" s="69">
        <f>IF('Instructions &amp; Summary'!$E$3="1H",DATE('Instructions &amp; Summary'!$F$3,6,1),DATE('Instructions &amp; Summary'!$F$3,12,1))</f>
        <v>46539</v>
      </c>
      <c r="B68" s="70">
        <f>'Tranche 4'!F24</f>
        <v>0</v>
      </c>
      <c r="C68" s="70">
        <f>'Tranche 4'!G24</f>
        <v>0</v>
      </c>
      <c r="D68" s="70">
        <f>'Tranche 4'!H24</f>
        <v>0</v>
      </c>
      <c r="E68" s="70">
        <f>'Tranche 4'!I24</f>
        <v>0</v>
      </c>
    </row>
  </sheetData>
  <sheetProtection algorithmName="SHA-512" hashValue="c6U6fY3gXma/n9wvdjJxma2l+szoFexrHZRnc/5dnBs4RwTB1MVQ2mAgCxgGYclNkkDG0jujhxE0xJ2x2FJ04g==" saltValue="qa9IE3xB4G87VpI2kGPWng==" spinCount="100000" sheet="1" objects="1" scenarios="1"/>
  <mergeCells count="12">
    <mergeCell ref="A1:E1"/>
    <mergeCell ref="A2:E2"/>
    <mergeCell ref="A10:E10"/>
    <mergeCell ref="A18:E18"/>
    <mergeCell ref="A19:E19"/>
    <mergeCell ref="A52:E52"/>
    <mergeCell ref="A53:E53"/>
    <mergeCell ref="A61:E61"/>
    <mergeCell ref="A27:E27"/>
    <mergeCell ref="A36:E36"/>
    <mergeCell ref="A44:E44"/>
    <mergeCell ref="A35:E35"/>
  </mergeCells>
  <printOptions horizontalCentered="1" verticalCentered="1"/>
  <pageMargins left="0.7" right="0.7" top="0.75" bottom="0.75" header="0.3" footer="0.3"/>
  <pageSetup paperSize="9" scale="87" fitToWidth="0" orientation="portrait" r:id="rId1"/>
  <headerFooter>
    <oddHeader xml:space="preserve">&amp;L&amp;"Arial,Bold"&amp;10The United Illuminating Company
Docket No: 26-01-02
&amp;C&amp;"Arial,Bold"&amp;10CONFIDENTIAL
&amp;A&amp;R&amp;"Arial,Bold"&amp;10UI Attachment 2a
Page 11 of 12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90"/>
  <sheetViews>
    <sheetView view="pageLayout" topLeftCell="A48" zoomScaleNormal="100" workbookViewId="0">
      <selection activeCell="A27" sqref="A27:F27"/>
    </sheetView>
  </sheetViews>
  <sheetFormatPr defaultRowHeight="15" x14ac:dyDescent="0.25"/>
  <cols>
    <col min="1" max="5" width="16.140625" customWidth="1"/>
  </cols>
  <sheetData>
    <row r="1" spans="1:5" ht="12.75" customHeight="1" x14ac:dyDescent="0.25">
      <c r="A1" s="118" t="s">
        <v>81</v>
      </c>
      <c r="B1" s="118"/>
      <c r="C1" s="118"/>
      <c r="D1" s="118"/>
      <c r="E1" s="118"/>
    </row>
    <row r="2" spans="1:5" ht="12.75" customHeight="1" x14ac:dyDescent="0.25">
      <c r="A2" s="119" t="s">
        <v>75</v>
      </c>
      <c r="B2" s="119"/>
      <c r="C2" s="119"/>
      <c r="D2" s="119"/>
      <c r="E2" s="119"/>
    </row>
    <row r="3" spans="1:5" ht="12.75" customHeight="1" x14ac:dyDescent="0.25">
      <c r="A3" s="68" t="s">
        <v>14</v>
      </c>
      <c r="B3" s="68" t="s">
        <v>41</v>
      </c>
      <c r="C3" s="68" t="s">
        <v>42</v>
      </c>
      <c r="D3" s="68" t="s">
        <v>15</v>
      </c>
      <c r="E3" s="68" t="s">
        <v>43</v>
      </c>
    </row>
    <row r="4" spans="1:5" ht="12.75" customHeight="1" x14ac:dyDescent="0.25">
      <c r="A4" s="69">
        <f>IF('Instructions &amp; Summary'!$E$4="1H",DATE('Instructions &amp; Summary'!$F$4,1,1),DATE('Instructions &amp; Summary'!$F$4,7,1))</f>
        <v>46569</v>
      </c>
      <c r="B4" s="70">
        <f>'Tranche 5'!F7</f>
        <v>0</v>
      </c>
      <c r="C4" s="70">
        <f>'Tranche 5'!G7</f>
        <v>0</v>
      </c>
      <c r="D4" s="70">
        <f>'Tranche 5'!H7</f>
        <v>0</v>
      </c>
      <c r="E4" s="68" t="str">
        <f>'Tranche 5'!I7</f>
        <v>N/A</v>
      </c>
    </row>
    <row r="5" spans="1:5" ht="12.75" customHeight="1" x14ac:dyDescent="0.25">
      <c r="A5" s="69">
        <f>IF('Instructions &amp; Summary'!$E$4="1H",DATE('Instructions &amp; Summary'!$F$4,2,1),DATE('Instructions &amp; Summary'!$F$4,8,1))</f>
        <v>46600</v>
      </c>
      <c r="B5" s="70">
        <f>'Tranche 5'!F8</f>
        <v>0</v>
      </c>
      <c r="C5" s="70">
        <f>'Tranche 5'!G8</f>
        <v>0</v>
      </c>
      <c r="D5" s="70">
        <f>'Tranche 5'!H8</f>
        <v>0</v>
      </c>
      <c r="E5" s="68" t="str">
        <f>'Tranche 5'!I8</f>
        <v>N/A</v>
      </c>
    </row>
    <row r="6" spans="1:5" ht="12.75" customHeight="1" x14ac:dyDescent="0.25">
      <c r="A6" s="69">
        <f>IF('Instructions &amp; Summary'!$E$4="1H",DATE('Instructions &amp; Summary'!$F$4,3,1),DATE('Instructions &amp; Summary'!$F$4,9,1))</f>
        <v>46631</v>
      </c>
      <c r="B6" s="70">
        <f>'Tranche 5'!F9</f>
        <v>0</v>
      </c>
      <c r="C6" s="70">
        <f>'Tranche 5'!G9</f>
        <v>0</v>
      </c>
      <c r="D6" s="70">
        <f>'Tranche 5'!H9</f>
        <v>0</v>
      </c>
      <c r="E6" s="68" t="str">
        <f>'Tranche 5'!I9</f>
        <v>N/A</v>
      </c>
    </row>
    <row r="7" spans="1:5" ht="12.75" customHeight="1" x14ac:dyDescent="0.25">
      <c r="A7" s="69">
        <f>IF('Instructions &amp; Summary'!$E$4="1H",DATE('Instructions &amp; Summary'!$F$4,4,1),DATE('Instructions &amp; Summary'!$F$4,10,1))</f>
        <v>46661</v>
      </c>
      <c r="B7" s="70">
        <f>'Tranche 5'!F10</f>
        <v>0</v>
      </c>
      <c r="C7" s="70">
        <f>'Tranche 5'!G10</f>
        <v>0</v>
      </c>
      <c r="D7" s="70">
        <f>'Tranche 5'!H10</f>
        <v>0</v>
      </c>
      <c r="E7" s="68" t="str">
        <f>'Tranche 5'!I10</f>
        <v>N/A</v>
      </c>
    </row>
    <row r="8" spans="1:5" ht="12.75" customHeight="1" x14ac:dyDescent="0.25">
      <c r="A8" s="69">
        <f>IF('Instructions &amp; Summary'!$E$4="1H",DATE('Instructions &amp; Summary'!$F$4,5,1),DATE('Instructions &amp; Summary'!$F$4,11,1))</f>
        <v>46692</v>
      </c>
      <c r="B8" s="70">
        <f>'Tranche 5'!F11</f>
        <v>0</v>
      </c>
      <c r="C8" s="70">
        <f>'Tranche 5'!G11</f>
        <v>0</v>
      </c>
      <c r="D8" s="70">
        <f>'Tranche 5'!H11</f>
        <v>0</v>
      </c>
      <c r="E8" s="68" t="str">
        <f>'Tranche 5'!I11</f>
        <v>N/A</v>
      </c>
    </row>
    <row r="9" spans="1:5" ht="12.75" customHeight="1" x14ac:dyDescent="0.25">
      <c r="A9" s="69">
        <f>IF('Instructions &amp; Summary'!$E$4="1H",DATE('Instructions &amp; Summary'!$F$4,6,1),DATE('Instructions &amp; Summary'!$F$4,12,1))</f>
        <v>46722</v>
      </c>
      <c r="B9" s="70">
        <f>'Tranche 5'!F12</f>
        <v>0</v>
      </c>
      <c r="C9" s="70">
        <f>'Tranche 5'!G12</f>
        <v>0</v>
      </c>
      <c r="D9" s="70">
        <f>'Tranche 5'!H12</f>
        <v>0</v>
      </c>
      <c r="E9" s="68" t="str">
        <f>'Tranche 5'!I12</f>
        <v>N/A</v>
      </c>
    </row>
    <row r="10" spans="1:5" ht="12.75" customHeight="1" x14ac:dyDescent="0.25">
      <c r="A10" s="119" t="s">
        <v>76</v>
      </c>
      <c r="B10" s="119"/>
      <c r="C10" s="119"/>
      <c r="D10" s="119"/>
      <c r="E10" s="119"/>
    </row>
    <row r="11" spans="1:5" ht="12.75" customHeight="1" x14ac:dyDescent="0.25">
      <c r="A11" s="68" t="s">
        <v>14</v>
      </c>
      <c r="B11" s="68" t="s">
        <v>41</v>
      </c>
      <c r="C11" s="68" t="s">
        <v>42</v>
      </c>
      <c r="D11" s="68" t="s">
        <v>15</v>
      </c>
      <c r="E11" s="68" t="s">
        <v>43</v>
      </c>
    </row>
    <row r="12" spans="1:5" ht="12.75" customHeight="1" x14ac:dyDescent="0.25">
      <c r="A12" s="69">
        <f>IF('Instructions &amp; Summary'!$E$4="1H",DATE('Instructions &amp; Summary'!$F$4,1,1),DATE('Instructions &amp; Summary'!$F$4,7,1))</f>
        <v>46569</v>
      </c>
      <c r="B12" s="70">
        <f>'Tranche 5'!F19</f>
        <v>0</v>
      </c>
      <c r="C12" s="70">
        <f>'Tranche 5'!G19</f>
        <v>0</v>
      </c>
      <c r="D12" s="70">
        <f>'Tranche 5'!H19</f>
        <v>0</v>
      </c>
      <c r="E12" s="70">
        <f>'Tranche 5'!I19</f>
        <v>0</v>
      </c>
    </row>
    <row r="13" spans="1:5" ht="12.75" customHeight="1" x14ac:dyDescent="0.25">
      <c r="A13" s="69">
        <f>IF('Instructions &amp; Summary'!$E$4="1H",DATE('Instructions &amp; Summary'!$F$4,2,1),DATE('Instructions &amp; Summary'!$F$4,8,1))</f>
        <v>46600</v>
      </c>
      <c r="B13" s="70">
        <f>'Tranche 5'!F20</f>
        <v>0</v>
      </c>
      <c r="C13" s="70">
        <f>'Tranche 5'!G20</f>
        <v>0</v>
      </c>
      <c r="D13" s="70">
        <f>'Tranche 5'!H20</f>
        <v>0</v>
      </c>
      <c r="E13" s="70">
        <f>'Tranche 5'!I20</f>
        <v>0</v>
      </c>
    </row>
    <row r="14" spans="1:5" ht="12.75" customHeight="1" x14ac:dyDescent="0.25">
      <c r="A14" s="69">
        <f>IF('Instructions &amp; Summary'!$E$4="1H",DATE('Instructions &amp; Summary'!$F$4,3,1),DATE('Instructions &amp; Summary'!$F$4,9,1))</f>
        <v>46631</v>
      </c>
      <c r="B14" s="70">
        <f>'Tranche 5'!F21</f>
        <v>0</v>
      </c>
      <c r="C14" s="70">
        <f>'Tranche 5'!G21</f>
        <v>0</v>
      </c>
      <c r="D14" s="70">
        <f>'Tranche 5'!H21</f>
        <v>0</v>
      </c>
      <c r="E14" s="70">
        <f>'Tranche 5'!I21</f>
        <v>0</v>
      </c>
    </row>
    <row r="15" spans="1:5" ht="12.75" customHeight="1" x14ac:dyDescent="0.25">
      <c r="A15" s="69">
        <f>IF('Instructions &amp; Summary'!$E$4="1H",DATE('Instructions &amp; Summary'!$F$4,4,1),DATE('Instructions &amp; Summary'!$F$4,10,1))</f>
        <v>46661</v>
      </c>
      <c r="B15" s="70">
        <f>'Tranche 5'!F22</f>
        <v>0</v>
      </c>
      <c r="C15" s="70">
        <f>'Tranche 5'!G22</f>
        <v>0</v>
      </c>
      <c r="D15" s="70">
        <f>'Tranche 5'!H22</f>
        <v>0</v>
      </c>
      <c r="E15" s="70">
        <f>'Tranche 5'!I22</f>
        <v>0</v>
      </c>
    </row>
    <row r="16" spans="1:5" ht="12.75" customHeight="1" x14ac:dyDescent="0.25">
      <c r="A16" s="69">
        <f>IF('Instructions &amp; Summary'!$E$4="1H",DATE('Instructions &amp; Summary'!$F$4,5,1),DATE('Instructions &amp; Summary'!$F$4,11,1))</f>
        <v>46692</v>
      </c>
      <c r="B16" s="70">
        <f>'Tranche 5'!F23</f>
        <v>0</v>
      </c>
      <c r="C16" s="70">
        <f>'Tranche 5'!G23</f>
        <v>0</v>
      </c>
      <c r="D16" s="70">
        <f>'Tranche 5'!H23</f>
        <v>0</v>
      </c>
      <c r="E16" s="70">
        <f>'Tranche 5'!I23</f>
        <v>0</v>
      </c>
    </row>
    <row r="17" spans="1:5" ht="12.75" customHeight="1" x14ac:dyDescent="0.25">
      <c r="A17" s="69">
        <f>IF('Instructions &amp; Summary'!$E$4="1H",DATE('Instructions &amp; Summary'!$F$4,6,1),DATE('Instructions &amp; Summary'!$F$4,12,1))</f>
        <v>46722</v>
      </c>
      <c r="B17" s="70">
        <f>'Tranche 5'!F24</f>
        <v>0</v>
      </c>
      <c r="C17" s="70">
        <f>'Tranche 5'!G24</f>
        <v>0</v>
      </c>
      <c r="D17" s="70">
        <f>'Tranche 5'!H24</f>
        <v>0</v>
      </c>
      <c r="E17" s="70">
        <f>'Tranche 5'!I24</f>
        <v>0</v>
      </c>
    </row>
    <row r="18" spans="1:5" ht="12.75" customHeight="1" x14ac:dyDescent="0.25">
      <c r="A18" s="118" t="s">
        <v>80</v>
      </c>
      <c r="B18" s="118"/>
      <c r="C18" s="118"/>
      <c r="D18" s="118"/>
      <c r="E18" s="118"/>
    </row>
    <row r="19" spans="1:5" ht="12.75" customHeight="1" x14ac:dyDescent="0.25">
      <c r="A19" s="119" t="s">
        <v>75</v>
      </c>
      <c r="B19" s="119"/>
      <c r="C19" s="119"/>
      <c r="D19" s="119"/>
      <c r="E19" s="119"/>
    </row>
    <row r="20" spans="1:5" ht="12.75" customHeight="1" x14ac:dyDescent="0.25">
      <c r="A20" s="68" t="s">
        <v>14</v>
      </c>
      <c r="B20" s="68" t="s">
        <v>41</v>
      </c>
      <c r="C20" s="68" t="s">
        <v>42</v>
      </c>
      <c r="D20" s="68" t="s">
        <v>15</v>
      </c>
      <c r="E20" s="68" t="s">
        <v>43</v>
      </c>
    </row>
    <row r="21" spans="1:5" ht="12.75" customHeight="1" x14ac:dyDescent="0.25">
      <c r="A21" s="69">
        <f>IF('Instructions &amp; Summary'!$E$4="1H",DATE('Instructions &amp; Summary'!$F$4,1,1),DATE('Instructions &amp; Summary'!$F$4,7,1))</f>
        <v>46569</v>
      </c>
      <c r="B21" s="70">
        <f>'Tranche 6'!F7</f>
        <v>0</v>
      </c>
      <c r="C21" s="70">
        <f>'Tranche 6'!G7</f>
        <v>0</v>
      </c>
      <c r="D21" s="70">
        <f>'Tranche 6'!H7</f>
        <v>0</v>
      </c>
      <c r="E21" s="70" t="str">
        <f>'Tranche 6'!I7</f>
        <v>N/A</v>
      </c>
    </row>
    <row r="22" spans="1:5" ht="12.75" customHeight="1" x14ac:dyDescent="0.25">
      <c r="A22" s="69">
        <f>IF('Instructions &amp; Summary'!$E$4="1H",DATE('Instructions &amp; Summary'!$F$4,2,1),DATE('Instructions &amp; Summary'!$F$4,8,1))</f>
        <v>46600</v>
      </c>
      <c r="B22" s="70">
        <f>'Tranche 6'!F8</f>
        <v>0</v>
      </c>
      <c r="C22" s="70">
        <f>'Tranche 6'!G8</f>
        <v>0</v>
      </c>
      <c r="D22" s="70">
        <f>'Tranche 6'!H8</f>
        <v>0</v>
      </c>
      <c r="E22" s="70" t="str">
        <f>'Tranche 6'!I8</f>
        <v>N/A</v>
      </c>
    </row>
    <row r="23" spans="1:5" ht="12.75" customHeight="1" x14ac:dyDescent="0.25">
      <c r="A23" s="69">
        <f>IF('Instructions &amp; Summary'!$E$4="1H",DATE('Instructions &amp; Summary'!$F$4,3,1),DATE('Instructions &amp; Summary'!$F$4,9,1))</f>
        <v>46631</v>
      </c>
      <c r="B23" s="70">
        <f>'Tranche 6'!F9</f>
        <v>0</v>
      </c>
      <c r="C23" s="70">
        <f>'Tranche 6'!G9</f>
        <v>0</v>
      </c>
      <c r="D23" s="70">
        <f>'Tranche 6'!H9</f>
        <v>0</v>
      </c>
      <c r="E23" s="70" t="str">
        <f>'Tranche 6'!I9</f>
        <v>N/A</v>
      </c>
    </row>
    <row r="24" spans="1:5" ht="12.75" customHeight="1" x14ac:dyDescent="0.25">
      <c r="A24" s="69">
        <f>IF('Instructions &amp; Summary'!$E$4="1H",DATE('Instructions &amp; Summary'!$F$4,4,1),DATE('Instructions &amp; Summary'!$F$4,10,1))</f>
        <v>46661</v>
      </c>
      <c r="B24" s="70">
        <f>'Tranche 6'!F10</f>
        <v>0</v>
      </c>
      <c r="C24" s="70">
        <f>'Tranche 6'!G10</f>
        <v>0</v>
      </c>
      <c r="D24" s="70">
        <f>'Tranche 6'!H10</f>
        <v>0</v>
      </c>
      <c r="E24" s="70" t="str">
        <f>'Tranche 6'!I10</f>
        <v>N/A</v>
      </c>
    </row>
    <row r="25" spans="1:5" ht="12.75" customHeight="1" x14ac:dyDescent="0.25">
      <c r="A25" s="69">
        <f>IF('Instructions &amp; Summary'!$E$4="1H",DATE('Instructions &amp; Summary'!$F$4,5,1),DATE('Instructions &amp; Summary'!$F$4,11,1))</f>
        <v>46692</v>
      </c>
      <c r="B25" s="70">
        <f>'Tranche 6'!F11</f>
        <v>0</v>
      </c>
      <c r="C25" s="70">
        <f>'Tranche 6'!G11</f>
        <v>0</v>
      </c>
      <c r="D25" s="70">
        <f>'Tranche 6'!H11</f>
        <v>0</v>
      </c>
      <c r="E25" s="70" t="str">
        <f>'Tranche 6'!I11</f>
        <v>N/A</v>
      </c>
    </row>
    <row r="26" spans="1:5" ht="12.75" customHeight="1" x14ac:dyDescent="0.25">
      <c r="A26" s="69">
        <f>IF('Instructions &amp; Summary'!$E$4="1H",DATE('Instructions &amp; Summary'!$F$4,6,1),DATE('Instructions &amp; Summary'!$F$4,12,1))</f>
        <v>46722</v>
      </c>
      <c r="B26" s="70">
        <f>'Tranche 6'!F12</f>
        <v>0</v>
      </c>
      <c r="C26" s="70">
        <f>'Tranche 6'!G12</f>
        <v>0</v>
      </c>
      <c r="D26" s="70">
        <f>'Tranche 6'!H12</f>
        <v>0</v>
      </c>
      <c r="E26" s="70" t="str">
        <f>'Tranche 6'!I12</f>
        <v>N/A</v>
      </c>
    </row>
    <row r="27" spans="1:5" ht="12.75" customHeight="1" x14ac:dyDescent="0.25">
      <c r="A27" s="119" t="s">
        <v>76</v>
      </c>
      <c r="B27" s="119"/>
      <c r="C27" s="119"/>
      <c r="D27" s="119"/>
      <c r="E27" s="119"/>
    </row>
    <row r="28" spans="1:5" ht="12.75" customHeight="1" x14ac:dyDescent="0.25">
      <c r="A28" s="68" t="s">
        <v>14</v>
      </c>
      <c r="B28" s="68" t="s">
        <v>41</v>
      </c>
      <c r="C28" s="68" t="s">
        <v>42</v>
      </c>
      <c r="D28" s="68" t="s">
        <v>15</v>
      </c>
      <c r="E28" s="68" t="s">
        <v>43</v>
      </c>
    </row>
    <row r="29" spans="1:5" ht="12.75" customHeight="1" x14ac:dyDescent="0.25">
      <c r="A29" s="69">
        <f>IF('Instructions &amp; Summary'!$E$4="1H",DATE('Instructions &amp; Summary'!$F$4,1,1),DATE('Instructions &amp; Summary'!$F$4,7,1))</f>
        <v>46569</v>
      </c>
      <c r="B29" s="70">
        <f>'Tranche 6'!F19</f>
        <v>0</v>
      </c>
      <c r="C29" s="70">
        <f>'Tranche 6'!G19</f>
        <v>0</v>
      </c>
      <c r="D29" s="70">
        <f>'Tranche 6'!H19</f>
        <v>0</v>
      </c>
      <c r="E29" s="70">
        <f>'Tranche 6'!I19</f>
        <v>0</v>
      </c>
    </row>
    <row r="30" spans="1:5" ht="12.75" customHeight="1" x14ac:dyDescent="0.25">
      <c r="A30" s="69">
        <f>IF('Instructions &amp; Summary'!$E$4="1H",DATE('Instructions &amp; Summary'!$F$4,2,1),DATE('Instructions &amp; Summary'!$F$4,8,1))</f>
        <v>46600</v>
      </c>
      <c r="B30" s="70">
        <f>'Tranche 6'!F20</f>
        <v>0</v>
      </c>
      <c r="C30" s="70">
        <f>'Tranche 6'!G20</f>
        <v>0</v>
      </c>
      <c r="D30" s="70">
        <f>'Tranche 6'!H20</f>
        <v>0</v>
      </c>
      <c r="E30" s="70">
        <f>'Tranche 6'!I20</f>
        <v>0</v>
      </c>
    </row>
    <row r="31" spans="1:5" ht="12.75" customHeight="1" x14ac:dyDescent="0.25">
      <c r="A31" s="69">
        <f>IF('Instructions &amp; Summary'!$E$4="1H",DATE('Instructions &amp; Summary'!$F$4,3,1),DATE('Instructions &amp; Summary'!$F$4,9,1))</f>
        <v>46631</v>
      </c>
      <c r="B31" s="70">
        <f>'Tranche 6'!F21</f>
        <v>0</v>
      </c>
      <c r="C31" s="70">
        <f>'Tranche 6'!G21</f>
        <v>0</v>
      </c>
      <c r="D31" s="70">
        <f>'Tranche 6'!H21</f>
        <v>0</v>
      </c>
      <c r="E31" s="70">
        <f>'Tranche 6'!I21</f>
        <v>0</v>
      </c>
    </row>
    <row r="32" spans="1:5" ht="12.75" customHeight="1" x14ac:dyDescent="0.25">
      <c r="A32" s="69">
        <f>IF('Instructions &amp; Summary'!$E$4="1H",DATE('Instructions &amp; Summary'!$F$4,4,1),DATE('Instructions &amp; Summary'!$F$4,10,1))</f>
        <v>46661</v>
      </c>
      <c r="B32" s="70">
        <f>'Tranche 6'!F22</f>
        <v>0</v>
      </c>
      <c r="C32" s="70">
        <f>'Tranche 6'!G22</f>
        <v>0</v>
      </c>
      <c r="D32" s="70">
        <f>'Tranche 6'!H22</f>
        <v>0</v>
      </c>
      <c r="E32" s="70">
        <f>'Tranche 6'!I22</f>
        <v>0</v>
      </c>
    </row>
    <row r="33" spans="1:5" ht="12.75" customHeight="1" x14ac:dyDescent="0.25">
      <c r="A33" s="69">
        <f>IF('Instructions &amp; Summary'!$E$4="1H",DATE('Instructions &amp; Summary'!$F$4,5,1),DATE('Instructions &amp; Summary'!$F$4,11,1))</f>
        <v>46692</v>
      </c>
      <c r="B33" s="70">
        <f>'Tranche 6'!F23</f>
        <v>0</v>
      </c>
      <c r="C33" s="70">
        <f>'Tranche 6'!G23</f>
        <v>0</v>
      </c>
      <c r="D33" s="70">
        <f>'Tranche 6'!H23</f>
        <v>0</v>
      </c>
      <c r="E33" s="70">
        <f>'Tranche 6'!I23</f>
        <v>0</v>
      </c>
    </row>
    <row r="34" spans="1:5" ht="12.75" customHeight="1" x14ac:dyDescent="0.25">
      <c r="A34" s="69">
        <f>IF('Instructions &amp; Summary'!$E$4="1H",DATE('Instructions &amp; Summary'!$F$4,6,1),DATE('Instructions &amp; Summary'!$F$4,12,1))</f>
        <v>46722</v>
      </c>
      <c r="B34" s="70">
        <f>'Tranche 6'!F24</f>
        <v>0</v>
      </c>
      <c r="C34" s="70">
        <f>'Tranche 6'!G24</f>
        <v>0</v>
      </c>
      <c r="D34" s="70">
        <f>'Tranche 6'!H24</f>
        <v>0</v>
      </c>
      <c r="E34" s="70">
        <f>'Tranche 6'!I24</f>
        <v>0</v>
      </c>
    </row>
    <row r="35" spans="1:5" ht="12.75" customHeight="1" x14ac:dyDescent="0.25">
      <c r="A35" s="118" t="s">
        <v>82</v>
      </c>
      <c r="B35" s="118"/>
      <c r="C35" s="118"/>
      <c r="D35" s="118"/>
      <c r="E35" s="118"/>
    </row>
    <row r="36" spans="1:5" ht="12.75" customHeight="1" x14ac:dyDescent="0.25">
      <c r="A36" s="119" t="s">
        <v>75</v>
      </c>
      <c r="B36" s="119"/>
      <c r="C36" s="119"/>
      <c r="D36" s="119"/>
      <c r="E36" s="119"/>
    </row>
    <row r="37" spans="1:5" ht="12.75" customHeight="1" x14ac:dyDescent="0.25">
      <c r="A37" s="68" t="s">
        <v>14</v>
      </c>
      <c r="B37" s="68" t="s">
        <v>41</v>
      </c>
      <c r="C37" s="68" t="s">
        <v>42</v>
      </c>
      <c r="D37" s="68" t="s">
        <v>15</v>
      </c>
      <c r="E37" s="68" t="s">
        <v>43</v>
      </c>
    </row>
    <row r="38" spans="1:5" ht="12.75" customHeight="1" x14ac:dyDescent="0.25">
      <c r="A38" s="69">
        <f>IF('Instructions &amp; Summary'!$E$4="1H",DATE('Instructions &amp; Summary'!$F$4,1,1),DATE('Instructions &amp; Summary'!$F$4,7,1))</f>
        <v>46569</v>
      </c>
      <c r="B38" s="70">
        <f>'Tranche 7'!F7</f>
        <v>0</v>
      </c>
      <c r="C38" s="70">
        <f>'Tranche 7'!G7</f>
        <v>0</v>
      </c>
      <c r="D38" s="70">
        <f>'Tranche 7'!H7</f>
        <v>0</v>
      </c>
      <c r="E38" s="70" t="str">
        <f>'Tranche 7'!I7</f>
        <v>N/A</v>
      </c>
    </row>
    <row r="39" spans="1:5" ht="12.75" customHeight="1" x14ac:dyDescent="0.25">
      <c r="A39" s="69">
        <f>IF('Instructions &amp; Summary'!$E$4="1H",DATE('Instructions &amp; Summary'!$F$4,2,1),DATE('Instructions &amp; Summary'!$F$4,8,1))</f>
        <v>46600</v>
      </c>
      <c r="B39" s="70">
        <f>'Tranche 7'!F8</f>
        <v>0</v>
      </c>
      <c r="C39" s="70">
        <f>'Tranche 7'!G8</f>
        <v>0</v>
      </c>
      <c r="D39" s="70">
        <f>'Tranche 7'!H8</f>
        <v>0</v>
      </c>
      <c r="E39" s="70" t="str">
        <f>'Tranche 7'!I8</f>
        <v>N/A</v>
      </c>
    </row>
    <row r="40" spans="1:5" ht="12.75" customHeight="1" x14ac:dyDescent="0.25">
      <c r="A40" s="69">
        <f>IF('Instructions &amp; Summary'!$E$4="1H",DATE('Instructions &amp; Summary'!$F$4,3,1),DATE('Instructions &amp; Summary'!$F$4,9,1))</f>
        <v>46631</v>
      </c>
      <c r="B40" s="70">
        <f>'Tranche 7'!F9</f>
        <v>0</v>
      </c>
      <c r="C40" s="70">
        <f>'Tranche 7'!G9</f>
        <v>0</v>
      </c>
      <c r="D40" s="70">
        <f>'Tranche 7'!H9</f>
        <v>0</v>
      </c>
      <c r="E40" s="70" t="str">
        <f>'Tranche 7'!I9</f>
        <v>N/A</v>
      </c>
    </row>
    <row r="41" spans="1:5" ht="12.75" customHeight="1" x14ac:dyDescent="0.25">
      <c r="A41" s="69">
        <f>IF('Instructions &amp; Summary'!$E$4="1H",DATE('Instructions &amp; Summary'!$F$4,4,1),DATE('Instructions &amp; Summary'!$F$4,10,1))</f>
        <v>46661</v>
      </c>
      <c r="B41" s="70">
        <f>'Tranche 7'!F10</f>
        <v>0</v>
      </c>
      <c r="C41" s="70">
        <f>'Tranche 7'!G10</f>
        <v>0</v>
      </c>
      <c r="D41" s="70">
        <f>'Tranche 7'!H10</f>
        <v>0</v>
      </c>
      <c r="E41" s="70" t="str">
        <f>'Tranche 7'!I10</f>
        <v>N/A</v>
      </c>
    </row>
    <row r="42" spans="1:5" ht="12.75" customHeight="1" x14ac:dyDescent="0.25">
      <c r="A42" s="69">
        <f>IF('Instructions &amp; Summary'!$E$4="1H",DATE('Instructions &amp; Summary'!$F$4,5,1),DATE('Instructions &amp; Summary'!$F$4,11,1))</f>
        <v>46692</v>
      </c>
      <c r="B42" s="70">
        <f>'Tranche 7'!F11</f>
        <v>0</v>
      </c>
      <c r="C42" s="70">
        <f>'Tranche 7'!G11</f>
        <v>0</v>
      </c>
      <c r="D42" s="70">
        <f>'Tranche 7'!H11</f>
        <v>0</v>
      </c>
      <c r="E42" s="70" t="str">
        <f>'Tranche 7'!I11</f>
        <v>N/A</v>
      </c>
    </row>
    <row r="43" spans="1:5" ht="12.75" customHeight="1" x14ac:dyDescent="0.25">
      <c r="A43" s="69">
        <f>IF('Instructions &amp; Summary'!$E$4="1H",DATE('Instructions &amp; Summary'!$F$4,6,1),DATE('Instructions &amp; Summary'!$F$4,12,1))</f>
        <v>46722</v>
      </c>
      <c r="B43" s="70">
        <f>'Tranche 7'!F12</f>
        <v>0</v>
      </c>
      <c r="C43" s="70">
        <f>'Tranche 7'!G12</f>
        <v>0</v>
      </c>
      <c r="D43" s="70">
        <f>'Tranche 7'!H12</f>
        <v>0</v>
      </c>
      <c r="E43" s="70" t="str">
        <f>'Tranche 7'!I12</f>
        <v>N/A</v>
      </c>
    </row>
    <row r="44" spans="1:5" ht="12.75" customHeight="1" x14ac:dyDescent="0.25">
      <c r="A44" s="119" t="s">
        <v>76</v>
      </c>
      <c r="B44" s="119"/>
      <c r="C44" s="119"/>
      <c r="D44" s="119"/>
      <c r="E44" s="119"/>
    </row>
    <row r="45" spans="1:5" ht="12.75" customHeight="1" x14ac:dyDescent="0.25">
      <c r="A45" s="68" t="s">
        <v>14</v>
      </c>
      <c r="B45" s="68" t="s">
        <v>41</v>
      </c>
      <c r="C45" s="68" t="s">
        <v>42</v>
      </c>
      <c r="D45" s="68" t="s">
        <v>15</v>
      </c>
      <c r="E45" s="68" t="s">
        <v>43</v>
      </c>
    </row>
    <row r="46" spans="1:5" ht="12.75" customHeight="1" x14ac:dyDescent="0.25">
      <c r="A46" s="69">
        <f>IF('Instructions &amp; Summary'!$E$4="1H",DATE('Instructions &amp; Summary'!$F$4,1,1),DATE('Instructions &amp; Summary'!$F$4,7,1))</f>
        <v>46569</v>
      </c>
      <c r="B46" s="70">
        <f>'Tranche 7'!F19</f>
        <v>0</v>
      </c>
      <c r="C46" s="70">
        <f>'Tranche 7'!G19</f>
        <v>0</v>
      </c>
      <c r="D46" s="70">
        <f>'Tranche 7'!H19</f>
        <v>0</v>
      </c>
      <c r="E46" s="70">
        <f>'Tranche 7'!I19</f>
        <v>0</v>
      </c>
    </row>
    <row r="47" spans="1:5" ht="12.75" customHeight="1" x14ac:dyDescent="0.25">
      <c r="A47" s="69">
        <f>IF('Instructions &amp; Summary'!$E$4="1H",DATE('Instructions &amp; Summary'!$F$4,2,1),DATE('Instructions &amp; Summary'!$F$4,8,1))</f>
        <v>46600</v>
      </c>
      <c r="B47" s="70">
        <f>'Tranche 7'!F20</f>
        <v>0</v>
      </c>
      <c r="C47" s="70">
        <f>'Tranche 7'!G20</f>
        <v>0</v>
      </c>
      <c r="D47" s="70">
        <f>'Tranche 7'!H20</f>
        <v>0</v>
      </c>
      <c r="E47" s="70">
        <f>'Tranche 7'!I20</f>
        <v>0</v>
      </c>
    </row>
    <row r="48" spans="1:5" ht="12.75" customHeight="1" x14ac:dyDescent="0.25">
      <c r="A48" s="69">
        <f>IF('Instructions &amp; Summary'!$E$4="1H",DATE('Instructions &amp; Summary'!$F$4,3,1),DATE('Instructions &amp; Summary'!$F$4,9,1))</f>
        <v>46631</v>
      </c>
      <c r="B48" s="70">
        <f>'Tranche 7'!F21</f>
        <v>0</v>
      </c>
      <c r="C48" s="70">
        <f>'Tranche 7'!G21</f>
        <v>0</v>
      </c>
      <c r="D48" s="70">
        <f>'Tranche 7'!H21</f>
        <v>0</v>
      </c>
      <c r="E48" s="70">
        <f>'Tranche 7'!I21</f>
        <v>0</v>
      </c>
    </row>
    <row r="49" spans="1:5" ht="12.75" customHeight="1" x14ac:dyDescent="0.25">
      <c r="A49" s="69">
        <f>IF('Instructions &amp; Summary'!$E$4="1H",DATE('Instructions &amp; Summary'!$F$4,4,1),DATE('Instructions &amp; Summary'!$F$4,10,1))</f>
        <v>46661</v>
      </c>
      <c r="B49" s="70">
        <f>'Tranche 7'!F22</f>
        <v>0</v>
      </c>
      <c r="C49" s="70">
        <f>'Tranche 7'!G22</f>
        <v>0</v>
      </c>
      <c r="D49" s="70">
        <f>'Tranche 7'!H22</f>
        <v>0</v>
      </c>
      <c r="E49" s="70">
        <f>'Tranche 7'!I22</f>
        <v>0</v>
      </c>
    </row>
    <row r="50" spans="1:5" ht="12.75" customHeight="1" x14ac:dyDescent="0.25">
      <c r="A50" s="69">
        <f>IF('Instructions &amp; Summary'!$E$4="1H",DATE('Instructions &amp; Summary'!$F$4,5,1),DATE('Instructions &amp; Summary'!$F$4,11,1))</f>
        <v>46692</v>
      </c>
      <c r="B50" s="70">
        <f>'Tranche 7'!F23</f>
        <v>0</v>
      </c>
      <c r="C50" s="70">
        <f>'Tranche 7'!G23</f>
        <v>0</v>
      </c>
      <c r="D50" s="70">
        <f>'Tranche 7'!H23</f>
        <v>0</v>
      </c>
      <c r="E50" s="70">
        <f>'Tranche 7'!I23</f>
        <v>0</v>
      </c>
    </row>
    <row r="51" spans="1:5" ht="12.75" customHeight="1" x14ac:dyDescent="0.25">
      <c r="A51" s="69">
        <f>IF('Instructions &amp; Summary'!$E$4="1H",DATE('Instructions &amp; Summary'!$F$4,6,1),DATE('Instructions &amp; Summary'!$F$4,12,1))</f>
        <v>46722</v>
      </c>
      <c r="B51" s="70">
        <f>'Tranche 7'!F24</f>
        <v>0</v>
      </c>
      <c r="C51" s="70">
        <f>'Tranche 7'!G24</f>
        <v>0</v>
      </c>
      <c r="D51" s="70">
        <f>'Tranche 7'!H24</f>
        <v>0</v>
      </c>
      <c r="E51" s="70">
        <f>'Tranche 7'!I24</f>
        <v>0</v>
      </c>
    </row>
    <row r="52" spans="1:5" ht="12.75" hidden="1" customHeight="1" x14ac:dyDescent="0.25">
      <c r="A52" s="118" t="s">
        <v>83</v>
      </c>
      <c r="B52" s="118"/>
      <c r="C52" s="118"/>
      <c r="D52" s="118"/>
      <c r="E52" s="118"/>
    </row>
    <row r="53" spans="1:5" ht="12.75" hidden="1" customHeight="1" x14ac:dyDescent="0.25">
      <c r="A53" s="67"/>
      <c r="B53" s="67"/>
      <c r="C53" s="67"/>
      <c r="D53" s="67"/>
      <c r="E53" s="67"/>
    </row>
    <row r="54" spans="1:5" ht="12.75" hidden="1" customHeight="1" x14ac:dyDescent="0.25">
      <c r="A54" s="119" t="s">
        <v>75</v>
      </c>
      <c r="B54" s="119"/>
      <c r="C54" s="119"/>
      <c r="D54" s="119"/>
      <c r="E54" s="119"/>
    </row>
    <row r="55" spans="1:5" ht="12.75" hidden="1" customHeight="1" x14ac:dyDescent="0.25">
      <c r="A55" s="67"/>
      <c r="B55" s="67"/>
      <c r="C55" s="67"/>
      <c r="D55" s="67"/>
      <c r="E55" s="67"/>
    </row>
    <row r="56" spans="1:5" ht="12.75" hidden="1" customHeight="1" x14ac:dyDescent="0.25">
      <c r="A56" s="68" t="s">
        <v>14</v>
      </c>
      <c r="B56" s="68" t="s">
        <v>41</v>
      </c>
      <c r="C56" s="68" t="s">
        <v>42</v>
      </c>
      <c r="D56" s="68" t="s">
        <v>15</v>
      </c>
      <c r="E56" s="68" t="s">
        <v>43</v>
      </c>
    </row>
    <row r="57" spans="1:5" ht="12.75" hidden="1" customHeight="1" x14ac:dyDescent="0.25">
      <c r="A57" s="69">
        <f>IF('Instructions &amp; Summary'!$E$4="1H",DATE('Instructions &amp; Summary'!$F$4,1,1),DATE('Instructions &amp; Summary'!$F$4,7,1))</f>
        <v>46569</v>
      </c>
      <c r="B57" s="70">
        <f>Tranche_8!F7</f>
        <v>0</v>
      </c>
      <c r="C57" s="70">
        <f>Tranche_8!G7</f>
        <v>0</v>
      </c>
      <c r="D57" s="70">
        <f>Tranche_8!H7</f>
        <v>0</v>
      </c>
      <c r="E57" s="70" t="str">
        <f>Tranche_8!I7</f>
        <v>N/A</v>
      </c>
    </row>
    <row r="58" spans="1:5" ht="12.75" hidden="1" customHeight="1" x14ac:dyDescent="0.25">
      <c r="A58" s="69">
        <f>IF('Instructions &amp; Summary'!$E$4="1H",DATE('Instructions &amp; Summary'!$F$4,2,1),DATE('Instructions &amp; Summary'!$F$4,8,1))</f>
        <v>46600</v>
      </c>
      <c r="B58" s="70">
        <f>Tranche_8!F8</f>
        <v>0</v>
      </c>
      <c r="C58" s="70">
        <f>Tranche_8!G8</f>
        <v>0</v>
      </c>
      <c r="D58" s="70">
        <f>Tranche_8!H8</f>
        <v>0</v>
      </c>
      <c r="E58" s="70" t="str">
        <f>Tranche_8!I8</f>
        <v>N/A</v>
      </c>
    </row>
    <row r="59" spans="1:5" ht="12.75" hidden="1" customHeight="1" x14ac:dyDescent="0.25">
      <c r="A59" s="69">
        <f>IF('Instructions &amp; Summary'!$E$4="1H",DATE('Instructions &amp; Summary'!$F$4,3,1),DATE('Instructions &amp; Summary'!$F$4,9,1))</f>
        <v>46631</v>
      </c>
      <c r="B59" s="70">
        <f>Tranche_8!F9</f>
        <v>0</v>
      </c>
      <c r="C59" s="70">
        <f>Tranche_8!G9</f>
        <v>0</v>
      </c>
      <c r="D59" s="70">
        <f>Tranche_8!H9</f>
        <v>0</v>
      </c>
      <c r="E59" s="70" t="str">
        <f>Tranche_8!I9</f>
        <v>N/A</v>
      </c>
    </row>
    <row r="60" spans="1:5" ht="12.75" hidden="1" customHeight="1" x14ac:dyDescent="0.25">
      <c r="A60" s="69">
        <f>IF('Instructions &amp; Summary'!$E$4="1H",DATE('Instructions &amp; Summary'!$F$4,4,1),DATE('Instructions &amp; Summary'!$F$4,10,1))</f>
        <v>46661</v>
      </c>
      <c r="B60" s="70">
        <f>Tranche_8!F10</f>
        <v>0</v>
      </c>
      <c r="C60" s="70">
        <f>Tranche_8!G10</f>
        <v>0</v>
      </c>
      <c r="D60" s="70">
        <f>Tranche_8!H10</f>
        <v>0</v>
      </c>
      <c r="E60" s="70" t="str">
        <f>Tranche_8!I10</f>
        <v>N/A</v>
      </c>
    </row>
    <row r="61" spans="1:5" ht="12.75" hidden="1" customHeight="1" x14ac:dyDescent="0.25">
      <c r="A61" s="69">
        <f>IF('Instructions &amp; Summary'!$E$4="1H",DATE('Instructions &amp; Summary'!$F$4,5,1),DATE('Instructions &amp; Summary'!$F$4,11,1))</f>
        <v>46692</v>
      </c>
      <c r="B61" s="70">
        <f>Tranche_8!F11</f>
        <v>0</v>
      </c>
      <c r="C61" s="70">
        <f>Tranche_8!G11</f>
        <v>0</v>
      </c>
      <c r="D61" s="70">
        <f>Tranche_8!H11</f>
        <v>0</v>
      </c>
      <c r="E61" s="70" t="str">
        <f>Tranche_8!I11</f>
        <v>N/A</v>
      </c>
    </row>
    <row r="62" spans="1:5" ht="12.75" hidden="1" customHeight="1" x14ac:dyDescent="0.25">
      <c r="A62" s="69">
        <f>IF('Instructions &amp; Summary'!$E$4="1H",DATE('Instructions &amp; Summary'!$F$4,6,1),DATE('Instructions &amp; Summary'!$F$4,12,1))</f>
        <v>46722</v>
      </c>
      <c r="B62" s="70">
        <f>Tranche_8!F12</f>
        <v>0</v>
      </c>
      <c r="C62" s="70">
        <f>Tranche_8!G12</f>
        <v>0</v>
      </c>
      <c r="D62" s="70">
        <f>Tranche_8!H12</f>
        <v>0</v>
      </c>
      <c r="E62" s="70" t="str">
        <f>Tranche_8!I12</f>
        <v>N/A</v>
      </c>
    </row>
    <row r="63" spans="1:5" ht="12.75" hidden="1" customHeight="1" x14ac:dyDescent="0.25">
      <c r="A63" s="67"/>
      <c r="B63" s="67"/>
      <c r="C63" s="67"/>
      <c r="D63" s="67"/>
      <c r="E63" s="67"/>
    </row>
    <row r="64" spans="1:5" ht="12.75" hidden="1" customHeight="1" x14ac:dyDescent="0.25">
      <c r="A64" s="67"/>
      <c r="B64" s="67"/>
      <c r="C64" s="67"/>
      <c r="D64" s="67"/>
      <c r="E64" s="67"/>
    </row>
    <row r="65" spans="1:5" ht="12.75" hidden="1" customHeight="1" x14ac:dyDescent="0.25">
      <c r="A65" s="119" t="s">
        <v>76</v>
      </c>
      <c r="B65" s="119"/>
      <c r="C65" s="119"/>
      <c r="D65" s="119"/>
      <c r="E65" s="119"/>
    </row>
    <row r="66" spans="1:5" ht="12.75" hidden="1" customHeight="1" x14ac:dyDescent="0.25">
      <c r="A66" s="67"/>
      <c r="B66" s="67"/>
      <c r="C66" s="67"/>
      <c r="D66" s="67"/>
      <c r="E66" s="67"/>
    </row>
    <row r="67" spans="1:5" ht="12.75" hidden="1" customHeight="1" x14ac:dyDescent="0.25">
      <c r="A67" s="68" t="s">
        <v>14</v>
      </c>
      <c r="B67" s="68" t="s">
        <v>41</v>
      </c>
      <c r="C67" s="68" t="s">
        <v>42</v>
      </c>
      <c r="D67" s="68" t="s">
        <v>15</v>
      </c>
      <c r="E67" s="68" t="s">
        <v>43</v>
      </c>
    </row>
    <row r="68" spans="1:5" ht="12.75" hidden="1" customHeight="1" x14ac:dyDescent="0.25">
      <c r="A68" s="69">
        <f>IF('Instructions &amp; Summary'!$E$4="1H",DATE('Instructions &amp; Summary'!$F$4,1,1),DATE('Instructions &amp; Summary'!$F$4,7,1))</f>
        <v>46569</v>
      </c>
      <c r="B68" s="70">
        <f>Tranche_8!F19</f>
        <v>0</v>
      </c>
      <c r="C68" s="70">
        <f>Tranche_8!G19</f>
        <v>0</v>
      </c>
      <c r="D68" s="70">
        <f>Tranche_8!H19</f>
        <v>0</v>
      </c>
      <c r="E68" s="70">
        <f>Tranche_8!I19</f>
        <v>0</v>
      </c>
    </row>
    <row r="69" spans="1:5" ht="12.75" hidden="1" customHeight="1" x14ac:dyDescent="0.25">
      <c r="A69" s="69">
        <f>IF('Instructions &amp; Summary'!$E$4="1H",DATE('Instructions &amp; Summary'!$F$4,2,1),DATE('Instructions &amp; Summary'!$F$4,8,1))</f>
        <v>46600</v>
      </c>
      <c r="B69" s="70">
        <f>Tranche_8!F20</f>
        <v>0</v>
      </c>
      <c r="C69" s="70">
        <f>Tranche_8!G20</f>
        <v>0</v>
      </c>
      <c r="D69" s="70">
        <f>Tranche_8!H20</f>
        <v>0</v>
      </c>
      <c r="E69" s="70">
        <f>Tranche_8!I20</f>
        <v>0</v>
      </c>
    </row>
    <row r="70" spans="1:5" ht="12.75" hidden="1" customHeight="1" x14ac:dyDescent="0.25">
      <c r="A70" s="69">
        <f>IF('Instructions &amp; Summary'!$E$4="1H",DATE('Instructions &amp; Summary'!$F$4,3,1),DATE('Instructions &amp; Summary'!$F$4,9,1))</f>
        <v>46631</v>
      </c>
      <c r="B70" s="70">
        <f>Tranche_8!F21</f>
        <v>0</v>
      </c>
      <c r="C70" s="70">
        <f>Tranche_8!G21</f>
        <v>0</v>
      </c>
      <c r="D70" s="70">
        <f>Tranche_8!H21</f>
        <v>0</v>
      </c>
      <c r="E70" s="70">
        <f>Tranche_8!I21</f>
        <v>0</v>
      </c>
    </row>
    <row r="71" spans="1:5" ht="12.75" hidden="1" customHeight="1" x14ac:dyDescent="0.25">
      <c r="A71" s="69">
        <f>IF('Instructions &amp; Summary'!$E$4="1H",DATE('Instructions &amp; Summary'!$F$4,4,1),DATE('Instructions &amp; Summary'!$F$4,10,1))</f>
        <v>46661</v>
      </c>
      <c r="B71" s="70">
        <f>Tranche_8!F22</f>
        <v>0</v>
      </c>
      <c r="C71" s="70">
        <f>Tranche_8!G22</f>
        <v>0</v>
      </c>
      <c r="D71" s="70">
        <f>Tranche_8!H22</f>
        <v>0</v>
      </c>
      <c r="E71" s="70">
        <f>Tranche_8!I22</f>
        <v>0</v>
      </c>
    </row>
    <row r="72" spans="1:5" ht="12.75" hidden="1" customHeight="1" x14ac:dyDescent="0.25">
      <c r="A72" s="69">
        <f>IF('Instructions &amp; Summary'!$E$4="1H",DATE('Instructions &amp; Summary'!$F$4,5,1),DATE('Instructions &amp; Summary'!$F$4,11,1))</f>
        <v>46692</v>
      </c>
      <c r="B72" s="70">
        <f>Tranche_8!F23</f>
        <v>0</v>
      </c>
      <c r="C72" s="70">
        <f>Tranche_8!G23</f>
        <v>0</v>
      </c>
      <c r="D72" s="70">
        <f>Tranche_8!H23</f>
        <v>0</v>
      </c>
      <c r="E72" s="70">
        <f>Tranche_8!I23</f>
        <v>0</v>
      </c>
    </row>
    <row r="73" spans="1:5" ht="12.75" hidden="1" customHeight="1" x14ac:dyDescent="0.25">
      <c r="A73" s="69">
        <f>IF('Instructions &amp; Summary'!$E$4="1H",DATE('Instructions &amp; Summary'!$F$4,6,1),DATE('Instructions &amp; Summary'!$F$4,12,1))</f>
        <v>46722</v>
      </c>
      <c r="B73" s="70">
        <f>Tranche_8!F24</f>
        <v>0</v>
      </c>
      <c r="C73" s="70">
        <f>Tranche_8!G24</f>
        <v>0</v>
      </c>
      <c r="D73" s="70">
        <f>Tranche_8!H24</f>
        <v>0</v>
      </c>
      <c r="E73" s="70">
        <f>Tranche_8!I24</f>
        <v>0</v>
      </c>
    </row>
    <row r="74" spans="1:5" ht="12.75" customHeight="1" x14ac:dyDescent="0.25">
      <c r="A74" s="118" t="s">
        <v>83</v>
      </c>
      <c r="B74" s="118"/>
      <c r="C74" s="118"/>
      <c r="D74" s="118"/>
      <c r="E74" s="118"/>
    </row>
    <row r="75" spans="1:5" ht="12.75" customHeight="1" x14ac:dyDescent="0.25">
      <c r="A75" s="119" t="s">
        <v>75</v>
      </c>
      <c r="B75" s="119"/>
      <c r="C75" s="119"/>
      <c r="D75" s="119"/>
      <c r="E75" s="119"/>
    </row>
    <row r="76" spans="1:5" ht="12.75" customHeight="1" x14ac:dyDescent="0.25">
      <c r="A76" s="68" t="s">
        <v>14</v>
      </c>
      <c r="B76" s="68" t="s">
        <v>41</v>
      </c>
      <c r="C76" s="68" t="s">
        <v>42</v>
      </c>
      <c r="D76" s="68" t="s">
        <v>15</v>
      </c>
      <c r="E76" s="68" t="s">
        <v>43</v>
      </c>
    </row>
    <row r="77" spans="1:5" ht="12.75" customHeight="1" x14ac:dyDescent="0.25">
      <c r="A77" s="69">
        <f>IF('Instructions &amp; Summary'!$E$4="1H",DATE('Instructions &amp; Summary'!$F$4,1,1),DATE('Instructions &amp; Summary'!$F$4,7,1))</f>
        <v>46569</v>
      </c>
      <c r="B77" s="70">
        <f>'Tranche 8'!F7</f>
        <v>0</v>
      </c>
      <c r="C77" s="70">
        <f>'Tranche 8'!G7</f>
        <v>0</v>
      </c>
      <c r="D77" s="70">
        <f>'Tranche 8'!H7</f>
        <v>0</v>
      </c>
      <c r="E77" s="70" t="str">
        <f>'Tranche 8'!I7</f>
        <v>N/A</v>
      </c>
    </row>
    <row r="78" spans="1:5" ht="12.75" customHeight="1" x14ac:dyDescent="0.25">
      <c r="A78" s="69">
        <f>IF('Instructions &amp; Summary'!$E$4="1H",DATE('Instructions &amp; Summary'!$F$4,2,1),DATE('Instructions &amp; Summary'!$F$4,8,1))</f>
        <v>46600</v>
      </c>
      <c r="B78" s="70">
        <f>'Tranche 8'!F8</f>
        <v>0</v>
      </c>
      <c r="C78" s="70">
        <f>'Tranche 8'!G8</f>
        <v>0</v>
      </c>
      <c r="D78" s="70">
        <f>'Tranche 8'!H8</f>
        <v>0</v>
      </c>
      <c r="E78" s="70" t="str">
        <f>'Tranche 8'!I8</f>
        <v>N/A</v>
      </c>
    </row>
    <row r="79" spans="1:5" ht="12.75" customHeight="1" x14ac:dyDescent="0.25">
      <c r="A79" s="69">
        <f>IF('Instructions &amp; Summary'!$E$4="1H",DATE('Instructions &amp; Summary'!$F$4,3,1),DATE('Instructions &amp; Summary'!$F$4,9,1))</f>
        <v>46631</v>
      </c>
      <c r="B79" s="70">
        <f>'Tranche 8'!F9</f>
        <v>0</v>
      </c>
      <c r="C79" s="70">
        <f>'Tranche 8'!G9</f>
        <v>0</v>
      </c>
      <c r="D79" s="70">
        <f>'Tranche 8'!H9</f>
        <v>0</v>
      </c>
      <c r="E79" s="70" t="str">
        <f>'Tranche 8'!I9</f>
        <v>N/A</v>
      </c>
    </row>
    <row r="80" spans="1:5" ht="12.75" customHeight="1" x14ac:dyDescent="0.25">
      <c r="A80" s="69">
        <f>IF('Instructions &amp; Summary'!$E$4="1H",DATE('Instructions &amp; Summary'!$F$4,4,1),DATE('Instructions &amp; Summary'!$F$4,10,1))</f>
        <v>46661</v>
      </c>
      <c r="B80" s="70">
        <f>'Tranche 8'!F10</f>
        <v>0</v>
      </c>
      <c r="C80" s="70">
        <f>'Tranche 8'!G10</f>
        <v>0</v>
      </c>
      <c r="D80" s="70">
        <f>'Tranche 8'!H10</f>
        <v>0</v>
      </c>
      <c r="E80" s="70" t="str">
        <f>'Tranche 8'!I10</f>
        <v>N/A</v>
      </c>
    </row>
    <row r="81" spans="1:5" ht="12.75" customHeight="1" x14ac:dyDescent="0.25">
      <c r="A81" s="69">
        <f>IF('Instructions &amp; Summary'!$E$4="1H",DATE('Instructions &amp; Summary'!$F$4,5,1),DATE('Instructions &amp; Summary'!$F$4,11,1))</f>
        <v>46692</v>
      </c>
      <c r="B81" s="70">
        <f>'Tranche 8'!F11</f>
        <v>0</v>
      </c>
      <c r="C81" s="70">
        <f>'Tranche 8'!G11</f>
        <v>0</v>
      </c>
      <c r="D81" s="70">
        <f>'Tranche 8'!H11</f>
        <v>0</v>
      </c>
      <c r="E81" s="70" t="str">
        <f>'Tranche 8'!I11</f>
        <v>N/A</v>
      </c>
    </row>
    <row r="82" spans="1:5" ht="12.75" customHeight="1" x14ac:dyDescent="0.25">
      <c r="A82" s="69">
        <f>IF('Instructions &amp; Summary'!$E$4="1H",DATE('Instructions &amp; Summary'!$F$4,6,1),DATE('Instructions &amp; Summary'!$F$4,12,1))</f>
        <v>46722</v>
      </c>
      <c r="B82" s="70">
        <f>'Tranche 8'!F12</f>
        <v>0</v>
      </c>
      <c r="C82" s="70">
        <f>'Tranche 8'!G12</f>
        <v>0</v>
      </c>
      <c r="D82" s="70">
        <f>'Tranche 8'!H12</f>
        <v>0</v>
      </c>
      <c r="E82" s="70" t="str">
        <f>'Tranche 8'!I12</f>
        <v>N/A</v>
      </c>
    </row>
    <row r="83" spans="1:5" ht="12.75" customHeight="1" x14ac:dyDescent="0.25">
      <c r="A83" s="119" t="s">
        <v>76</v>
      </c>
      <c r="B83" s="119"/>
      <c r="C83" s="119"/>
      <c r="D83" s="119"/>
      <c r="E83" s="119"/>
    </row>
    <row r="84" spans="1:5" ht="12.75" customHeight="1" x14ac:dyDescent="0.25">
      <c r="A84" s="68" t="s">
        <v>14</v>
      </c>
      <c r="B84" s="68" t="s">
        <v>41</v>
      </c>
      <c r="C84" s="68" t="s">
        <v>42</v>
      </c>
      <c r="D84" s="68" t="s">
        <v>15</v>
      </c>
      <c r="E84" s="68" t="s">
        <v>43</v>
      </c>
    </row>
    <row r="85" spans="1:5" ht="12.75" customHeight="1" x14ac:dyDescent="0.25">
      <c r="A85" s="69">
        <f>IF('Instructions &amp; Summary'!$E$4="1H",DATE('Instructions &amp; Summary'!$F$4,1,1),DATE('Instructions &amp; Summary'!$F$4,7,1))</f>
        <v>46569</v>
      </c>
      <c r="B85" s="70">
        <f>'Tranche 8'!F19</f>
        <v>0</v>
      </c>
      <c r="C85" s="70">
        <f>'Tranche 8'!G19</f>
        <v>0</v>
      </c>
      <c r="D85" s="70">
        <f>'Tranche 8'!H19</f>
        <v>0</v>
      </c>
      <c r="E85" s="70">
        <f>'Tranche 8'!I19</f>
        <v>0</v>
      </c>
    </row>
    <row r="86" spans="1:5" ht="12.75" customHeight="1" x14ac:dyDescent="0.25">
      <c r="A86" s="69">
        <f>IF('Instructions &amp; Summary'!$E$4="1H",DATE('Instructions &amp; Summary'!$F$4,2,1),DATE('Instructions &amp; Summary'!$F$4,8,1))</f>
        <v>46600</v>
      </c>
      <c r="B86" s="70">
        <f>'Tranche 8'!F20</f>
        <v>0</v>
      </c>
      <c r="C86" s="70">
        <f>'Tranche 8'!G20</f>
        <v>0</v>
      </c>
      <c r="D86" s="70">
        <f>'Tranche 8'!H20</f>
        <v>0</v>
      </c>
      <c r="E86" s="70">
        <f>'Tranche 8'!I20</f>
        <v>0</v>
      </c>
    </row>
    <row r="87" spans="1:5" ht="12.75" customHeight="1" x14ac:dyDescent="0.25">
      <c r="A87" s="69">
        <f>IF('Instructions &amp; Summary'!$E$4="1H",DATE('Instructions &amp; Summary'!$F$4,3,1),DATE('Instructions &amp; Summary'!$F$4,9,1))</f>
        <v>46631</v>
      </c>
      <c r="B87" s="70">
        <f>'Tranche 8'!F21</f>
        <v>0</v>
      </c>
      <c r="C87" s="70">
        <f>'Tranche 8'!G21</f>
        <v>0</v>
      </c>
      <c r="D87" s="70">
        <f>'Tranche 8'!H21</f>
        <v>0</v>
      </c>
      <c r="E87" s="70">
        <f>'Tranche 8'!I21</f>
        <v>0</v>
      </c>
    </row>
    <row r="88" spans="1:5" ht="12.75" customHeight="1" x14ac:dyDescent="0.25">
      <c r="A88" s="69">
        <f>IF('Instructions &amp; Summary'!$E$4="1H",DATE('Instructions &amp; Summary'!$F$4,4,1),DATE('Instructions &amp; Summary'!$F$4,10,1))</f>
        <v>46661</v>
      </c>
      <c r="B88" s="70">
        <f>'Tranche 8'!F22</f>
        <v>0</v>
      </c>
      <c r="C88" s="70">
        <f>'Tranche 8'!G22</f>
        <v>0</v>
      </c>
      <c r="D88" s="70">
        <f>'Tranche 8'!H22</f>
        <v>0</v>
      </c>
      <c r="E88" s="70">
        <f>'Tranche 8'!I22</f>
        <v>0</v>
      </c>
    </row>
    <row r="89" spans="1:5" ht="12.75" customHeight="1" x14ac:dyDescent="0.25">
      <c r="A89" s="69">
        <f>IF('Instructions &amp; Summary'!$E$4="1H",DATE('Instructions &amp; Summary'!$F$4,5,1),DATE('Instructions &amp; Summary'!$F$4,11,1))</f>
        <v>46692</v>
      </c>
      <c r="B89" s="70">
        <f>'Tranche 8'!F23</f>
        <v>0</v>
      </c>
      <c r="C89" s="70">
        <f>'Tranche 8'!G23</f>
        <v>0</v>
      </c>
      <c r="D89" s="70">
        <f>'Tranche 8'!H23</f>
        <v>0</v>
      </c>
      <c r="E89" s="70">
        <f>'Tranche 8'!I23</f>
        <v>0</v>
      </c>
    </row>
    <row r="90" spans="1:5" ht="12.75" customHeight="1" x14ac:dyDescent="0.25">
      <c r="A90" s="69">
        <f>IF('Instructions &amp; Summary'!$E$4="1H",DATE('Instructions &amp; Summary'!$F$4,6,1),DATE('Instructions &amp; Summary'!$F$4,12,1))</f>
        <v>46722</v>
      </c>
      <c r="B90" s="70">
        <f>'Tranche 8'!F24</f>
        <v>0</v>
      </c>
      <c r="C90" s="70">
        <f>'Tranche 8'!G24</f>
        <v>0</v>
      </c>
      <c r="D90" s="70">
        <f>'Tranche 8'!H24</f>
        <v>0</v>
      </c>
      <c r="E90" s="70">
        <f>'Tranche 8'!I24</f>
        <v>0</v>
      </c>
    </row>
  </sheetData>
  <sheetProtection algorithmName="SHA-512" hashValue="dz3TpjV9oyDAYOl8gZVMRSs4kTYla1fAPFcyYEcXuenaCuZwTmRnkoPnyUA5Y3apeGbvb/DqrND4oXE/CDlAbA==" saltValue="H/1tFps5Eo+mQHjkGWHNlA==" spinCount="100000" sheet="1"/>
  <mergeCells count="15">
    <mergeCell ref="A74:E74"/>
    <mergeCell ref="A75:E75"/>
    <mergeCell ref="A83:E83"/>
    <mergeCell ref="A65:E65"/>
    <mergeCell ref="A1:E1"/>
    <mergeCell ref="A2:E2"/>
    <mergeCell ref="A10:E10"/>
    <mergeCell ref="A18:E18"/>
    <mergeCell ref="A19:E19"/>
    <mergeCell ref="A27:E27"/>
    <mergeCell ref="A35:E35"/>
    <mergeCell ref="A36:E36"/>
    <mergeCell ref="A44:E44"/>
    <mergeCell ref="A52:E52"/>
    <mergeCell ref="A54:E54"/>
  </mergeCells>
  <printOptions horizontalCentered="1" verticalCentered="1"/>
  <pageMargins left="0.7" right="0.7" top="0.75" bottom="0.75" header="0.3" footer="0.3"/>
  <pageSetup paperSize="9" scale="87" fitToWidth="0" orientation="portrait" r:id="rId1"/>
  <headerFooter>
    <oddHeader xml:space="preserve">&amp;L&amp;"Arial,Bold"&amp;10The United Illuminating Company
Docket No: 26-01-02
&amp;C&amp;"Arial,Bold"&amp;10CONFIDENTIAL
&amp;A&amp;R&amp;"Arial,Bold"&amp;10UI Attachment 2a
Page 12 of 12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8"/>
  <sheetViews>
    <sheetView tabSelected="1" view="pageLayout" zoomScaleNormal="100" workbookViewId="0">
      <selection activeCell="B21" sqref="B21:E32"/>
    </sheetView>
  </sheetViews>
  <sheetFormatPr defaultColWidth="9.140625" defaultRowHeight="11.25" x14ac:dyDescent="0.2"/>
  <cols>
    <col min="1" max="1" width="21.42578125" style="1" customWidth="1"/>
    <col min="2" max="6" width="10.7109375" style="1" customWidth="1"/>
    <col min="7" max="16384" width="9.140625" style="1"/>
  </cols>
  <sheetData>
    <row r="1" spans="1:6" ht="12.75" x14ac:dyDescent="0.2">
      <c r="A1" s="65" t="str">
        <f>'Instructions &amp; Summary'!A18:D18</f>
        <v>SAMPLE - Bidder "X"- NOT TO BE USED FOR BID SUBMITTAL</v>
      </c>
    </row>
    <row r="2" spans="1:6" ht="12.75" x14ac:dyDescent="0.2">
      <c r="A2" s="6"/>
    </row>
    <row r="3" spans="1:6" ht="11.25" customHeight="1" x14ac:dyDescent="0.2">
      <c r="A3" s="98" t="s">
        <v>48</v>
      </c>
      <c r="B3" s="99"/>
      <c r="C3" s="99"/>
      <c r="D3" s="99"/>
      <c r="E3" s="99"/>
      <c r="F3" s="100"/>
    </row>
    <row r="4" spans="1:6" s="10" customFormat="1" x14ac:dyDescent="0.2">
      <c r="A4" s="23" t="s">
        <v>14</v>
      </c>
      <c r="B4" s="37" t="s">
        <v>41</v>
      </c>
      <c r="C4" s="37" t="s">
        <v>42</v>
      </c>
      <c r="D4" s="37" t="s">
        <v>15</v>
      </c>
      <c r="E4" s="37" t="s">
        <v>43</v>
      </c>
      <c r="F4" s="37" t="s">
        <v>9</v>
      </c>
    </row>
    <row r="5" spans="1:6" x14ac:dyDescent="0.2">
      <c r="A5" s="4" t="s">
        <v>16</v>
      </c>
      <c r="B5" s="11">
        <v>12910</v>
      </c>
      <c r="C5" s="11">
        <v>1704</v>
      </c>
      <c r="D5" s="11">
        <v>45302</v>
      </c>
      <c r="E5" s="11">
        <v>0</v>
      </c>
      <c r="F5" s="12">
        <f t="shared" ref="F5:F16" si="0">SUM($B5:$E5)</f>
        <v>59916</v>
      </c>
    </row>
    <row r="6" spans="1:6" x14ac:dyDescent="0.2">
      <c r="A6" s="4" t="s">
        <v>17</v>
      </c>
      <c r="B6" s="11">
        <v>11351</v>
      </c>
      <c r="C6" s="11">
        <v>1853</v>
      </c>
      <c r="D6" s="11">
        <v>36807</v>
      </c>
      <c r="E6" s="11">
        <v>0</v>
      </c>
      <c r="F6" s="12">
        <f t="shared" si="0"/>
        <v>50011</v>
      </c>
    </row>
    <row r="7" spans="1:6" x14ac:dyDescent="0.2">
      <c r="A7" s="4" t="s">
        <v>18</v>
      </c>
      <c r="B7" s="11">
        <v>10474</v>
      </c>
      <c r="C7" s="11">
        <v>1618</v>
      </c>
      <c r="D7" s="11">
        <v>27827</v>
      </c>
      <c r="E7" s="11">
        <v>0</v>
      </c>
      <c r="F7" s="12">
        <f t="shared" si="0"/>
        <v>39919</v>
      </c>
    </row>
    <row r="8" spans="1:6" x14ac:dyDescent="0.2">
      <c r="A8" s="4" t="s">
        <v>19</v>
      </c>
      <c r="B8" s="11">
        <v>10208</v>
      </c>
      <c r="C8" s="11">
        <v>1624</v>
      </c>
      <c r="D8" s="11">
        <v>26207</v>
      </c>
      <c r="E8" s="11">
        <v>0</v>
      </c>
      <c r="F8" s="12">
        <f t="shared" si="0"/>
        <v>38039</v>
      </c>
    </row>
    <row r="9" spans="1:6" x14ac:dyDescent="0.2">
      <c r="A9" s="4" t="s">
        <v>20</v>
      </c>
      <c r="B9" s="11">
        <v>10432</v>
      </c>
      <c r="C9" s="11">
        <v>1787</v>
      </c>
      <c r="D9" s="11">
        <v>25041</v>
      </c>
      <c r="E9" s="11">
        <v>0</v>
      </c>
      <c r="F9" s="12">
        <f t="shared" si="0"/>
        <v>37260</v>
      </c>
    </row>
    <row r="10" spans="1:6" x14ac:dyDescent="0.2">
      <c r="A10" s="4" t="s">
        <v>21</v>
      </c>
      <c r="B10" s="11">
        <v>13255</v>
      </c>
      <c r="C10" s="11">
        <v>1852</v>
      </c>
      <c r="D10" s="11">
        <v>37632</v>
      </c>
      <c r="E10" s="11">
        <v>0</v>
      </c>
      <c r="F10" s="12">
        <f t="shared" si="0"/>
        <v>52739</v>
      </c>
    </row>
    <row r="11" spans="1:6" x14ac:dyDescent="0.2">
      <c r="A11" s="4" t="s">
        <v>22</v>
      </c>
      <c r="B11" s="11">
        <v>17019</v>
      </c>
      <c r="C11" s="11">
        <v>2387</v>
      </c>
      <c r="D11" s="11">
        <v>63150</v>
      </c>
      <c r="E11" s="11">
        <v>0</v>
      </c>
      <c r="F11" s="12">
        <f t="shared" si="0"/>
        <v>82556</v>
      </c>
    </row>
    <row r="12" spans="1:6" x14ac:dyDescent="0.2">
      <c r="A12" s="4" t="s">
        <v>23</v>
      </c>
      <c r="B12" s="11">
        <v>13107</v>
      </c>
      <c r="C12" s="11">
        <v>1943</v>
      </c>
      <c r="D12" s="11">
        <v>45464</v>
      </c>
      <c r="E12" s="11">
        <v>0</v>
      </c>
      <c r="F12" s="12">
        <f t="shared" si="0"/>
        <v>60514</v>
      </c>
    </row>
    <row r="13" spans="1:6" x14ac:dyDescent="0.2">
      <c r="A13" s="4" t="s">
        <v>24</v>
      </c>
      <c r="B13" s="11">
        <v>12516</v>
      </c>
      <c r="C13" s="11">
        <v>1886</v>
      </c>
      <c r="D13" s="11">
        <v>35046</v>
      </c>
      <c r="E13" s="11">
        <v>0</v>
      </c>
      <c r="F13" s="12">
        <f t="shared" si="0"/>
        <v>49448</v>
      </c>
    </row>
    <row r="14" spans="1:6" x14ac:dyDescent="0.2">
      <c r="A14" s="4" t="s">
        <v>25</v>
      </c>
      <c r="B14" s="11">
        <v>11946</v>
      </c>
      <c r="C14" s="11">
        <v>2027</v>
      </c>
      <c r="D14" s="11">
        <v>26925</v>
      </c>
      <c r="E14" s="11">
        <v>0</v>
      </c>
      <c r="F14" s="12">
        <f t="shared" si="0"/>
        <v>40898</v>
      </c>
    </row>
    <row r="15" spans="1:6" x14ac:dyDescent="0.2">
      <c r="A15" s="4" t="s">
        <v>26</v>
      </c>
      <c r="B15" s="11">
        <v>10527</v>
      </c>
      <c r="C15" s="11">
        <v>1853</v>
      </c>
      <c r="D15" s="11">
        <v>28447</v>
      </c>
      <c r="E15" s="11">
        <v>0</v>
      </c>
      <c r="F15" s="12">
        <f t="shared" si="0"/>
        <v>40827</v>
      </c>
    </row>
    <row r="16" spans="1:6" x14ac:dyDescent="0.2">
      <c r="A16" s="4" t="s">
        <v>27</v>
      </c>
      <c r="B16" s="11">
        <v>12418</v>
      </c>
      <c r="C16" s="11">
        <v>1850</v>
      </c>
      <c r="D16" s="11">
        <v>43306</v>
      </c>
      <c r="E16" s="11">
        <v>0</v>
      </c>
      <c r="F16" s="12">
        <f t="shared" si="0"/>
        <v>57574</v>
      </c>
    </row>
    <row r="17" spans="1:6" s="7" customFormat="1" x14ac:dyDescent="0.2">
      <c r="A17" s="9" t="s">
        <v>70</v>
      </c>
      <c r="B17" s="13">
        <f>SUM(B$5:B$16)</f>
        <v>146163</v>
      </c>
      <c r="C17" s="13">
        <f>SUM(C$5:C$16)</f>
        <v>22384</v>
      </c>
      <c r="D17" s="13">
        <f>SUM(D$5:D$16)</f>
        <v>441154</v>
      </c>
      <c r="E17" s="13">
        <f>SUM(E$5:E$16)</f>
        <v>0</v>
      </c>
      <c r="F17" s="13">
        <f>SUM(F5:F16)</f>
        <v>609701</v>
      </c>
    </row>
    <row r="18" spans="1:6" x14ac:dyDescent="0.2">
      <c r="A18" s="7"/>
      <c r="B18" s="14"/>
    </row>
    <row r="19" spans="1:6" ht="11.25" customHeight="1" x14ac:dyDescent="0.2">
      <c r="A19" s="98" t="s">
        <v>49</v>
      </c>
      <c r="B19" s="99"/>
      <c r="C19" s="99"/>
      <c r="D19" s="99"/>
      <c r="E19" s="99"/>
      <c r="F19" s="100"/>
    </row>
    <row r="20" spans="1:6" s="10" customFormat="1" x14ac:dyDescent="0.2">
      <c r="A20" s="23" t="s">
        <v>14</v>
      </c>
      <c r="B20" s="37" t="s">
        <v>41</v>
      </c>
      <c r="C20" s="37" t="s">
        <v>42</v>
      </c>
      <c r="D20" s="37" t="s">
        <v>15</v>
      </c>
      <c r="E20" s="37" t="s">
        <v>43</v>
      </c>
      <c r="F20" s="37" t="s">
        <v>9</v>
      </c>
    </row>
    <row r="21" spans="1:6" x14ac:dyDescent="0.2">
      <c r="A21" s="4" t="s">
        <v>16</v>
      </c>
      <c r="B21" s="15">
        <v>31535</v>
      </c>
      <c r="C21" s="15">
        <v>5311</v>
      </c>
      <c r="D21" s="15">
        <v>134881</v>
      </c>
      <c r="E21" s="15">
        <v>741</v>
      </c>
      <c r="F21" s="12">
        <f t="shared" ref="F21:F32" si="1">SUM($B21:$E21)</f>
        <v>172468</v>
      </c>
    </row>
    <row r="22" spans="1:6" x14ac:dyDescent="0.2">
      <c r="A22" s="4" t="s">
        <v>17</v>
      </c>
      <c r="B22" s="15">
        <v>28300</v>
      </c>
      <c r="C22" s="15">
        <v>5425</v>
      </c>
      <c r="D22" s="15">
        <v>117905</v>
      </c>
      <c r="E22" s="15">
        <v>741</v>
      </c>
      <c r="F22" s="12">
        <f t="shared" si="1"/>
        <v>152371</v>
      </c>
    </row>
    <row r="23" spans="1:6" x14ac:dyDescent="0.2">
      <c r="A23" s="4" t="s">
        <v>18</v>
      </c>
      <c r="B23" s="15">
        <v>26204</v>
      </c>
      <c r="C23" s="15">
        <v>4787</v>
      </c>
      <c r="D23" s="15">
        <v>96196</v>
      </c>
      <c r="E23" s="15">
        <v>544</v>
      </c>
      <c r="F23" s="12">
        <f t="shared" si="1"/>
        <v>127731</v>
      </c>
    </row>
    <row r="24" spans="1:6" x14ac:dyDescent="0.2">
      <c r="A24" s="4" t="s">
        <v>19</v>
      </c>
      <c r="B24" s="15">
        <v>24551</v>
      </c>
      <c r="C24" s="15">
        <v>5326</v>
      </c>
      <c r="D24" s="15">
        <v>85641</v>
      </c>
      <c r="E24" s="15">
        <v>501</v>
      </c>
      <c r="F24" s="12">
        <f t="shared" si="1"/>
        <v>116019</v>
      </c>
    </row>
    <row r="25" spans="1:6" x14ac:dyDescent="0.2">
      <c r="A25" s="4" t="s">
        <v>20</v>
      </c>
      <c r="B25" s="15">
        <v>24769</v>
      </c>
      <c r="C25" s="15">
        <v>5647</v>
      </c>
      <c r="D25" s="15">
        <v>79724</v>
      </c>
      <c r="E25" s="15">
        <v>490</v>
      </c>
      <c r="F25" s="12">
        <f t="shared" si="1"/>
        <v>110630</v>
      </c>
    </row>
    <row r="26" spans="1:6" x14ac:dyDescent="0.2">
      <c r="A26" s="4" t="s">
        <v>21</v>
      </c>
      <c r="B26" s="15">
        <v>27540</v>
      </c>
      <c r="C26" s="15">
        <v>5530</v>
      </c>
      <c r="D26" s="15">
        <v>101553</v>
      </c>
      <c r="E26" s="15">
        <v>415</v>
      </c>
      <c r="F26" s="12">
        <f t="shared" si="1"/>
        <v>135038</v>
      </c>
    </row>
    <row r="27" spans="1:6" x14ac:dyDescent="0.2">
      <c r="A27" s="4" t="s">
        <v>22</v>
      </c>
      <c r="B27" s="15">
        <v>32078</v>
      </c>
      <c r="C27" s="15">
        <v>6426</v>
      </c>
      <c r="D27" s="15">
        <v>141339</v>
      </c>
      <c r="E27" s="15">
        <v>345</v>
      </c>
      <c r="F27" s="12">
        <f t="shared" si="1"/>
        <v>180188</v>
      </c>
    </row>
    <row r="28" spans="1:6" x14ac:dyDescent="0.2">
      <c r="A28" s="4" t="s">
        <v>23</v>
      </c>
      <c r="B28" s="15">
        <v>28153</v>
      </c>
      <c r="C28" s="15">
        <v>5949</v>
      </c>
      <c r="D28" s="15">
        <v>123941</v>
      </c>
      <c r="E28" s="15">
        <v>367</v>
      </c>
      <c r="F28" s="12">
        <f t="shared" si="1"/>
        <v>158410</v>
      </c>
    </row>
    <row r="29" spans="1:6" x14ac:dyDescent="0.2">
      <c r="A29" s="4" t="s">
        <v>24</v>
      </c>
      <c r="B29" s="15">
        <v>25978</v>
      </c>
      <c r="C29" s="15">
        <v>5498</v>
      </c>
      <c r="D29" s="15">
        <v>96191</v>
      </c>
      <c r="E29" s="15">
        <v>460</v>
      </c>
      <c r="F29" s="12">
        <f t="shared" si="1"/>
        <v>128127</v>
      </c>
    </row>
    <row r="30" spans="1:6" x14ac:dyDescent="0.2">
      <c r="A30" s="4" t="s">
        <v>25</v>
      </c>
      <c r="B30" s="15">
        <v>26714</v>
      </c>
      <c r="C30" s="15">
        <v>6162</v>
      </c>
      <c r="D30" s="15">
        <v>81753</v>
      </c>
      <c r="E30" s="15">
        <v>665</v>
      </c>
      <c r="F30" s="12">
        <f t="shared" si="1"/>
        <v>115294</v>
      </c>
    </row>
    <row r="31" spans="1:6" x14ac:dyDescent="0.2">
      <c r="A31" s="4" t="s">
        <v>26</v>
      </c>
      <c r="B31" s="15">
        <v>27893</v>
      </c>
      <c r="C31" s="15">
        <v>6295</v>
      </c>
      <c r="D31" s="15">
        <v>91157</v>
      </c>
      <c r="E31" s="15">
        <v>786</v>
      </c>
      <c r="F31" s="12">
        <f t="shared" si="1"/>
        <v>126131</v>
      </c>
    </row>
    <row r="32" spans="1:6" x14ac:dyDescent="0.2">
      <c r="A32" s="4" t="s">
        <v>27</v>
      </c>
      <c r="B32" s="15">
        <v>28948</v>
      </c>
      <c r="C32" s="15">
        <v>5445</v>
      </c>
      <c r="D32" s="15">
        <v>118265</v>
      </c>
      <c r="E32" s="15">
        <v>724</v>
      </c>
      <c r="F32" s="12">
        <f t="shared" si="1"/>
        <v>153382</v>
      </c>
    </row>
    <row r="33" spans="1:6" s="7" customFormat="1" x14ac:dyDescent="0.2">
      <c r="A33" s="9" t="s">
        <v>71</v>
      </c>
      <c r="B33" s="13">
        <f>SUM(B$21:B$32)</f>
        <v>332663</v>
      </c>
      <c r="C33" s="13">
        <f>SUM(C$21:C$32)</f>
        <v>67801</v>
      </c>
      <c r="D33" s="13">
        <f>SUM(D$21:D$32)</f>
        <v>1268546</v>
      </c>
      <c r="E33" s="13">
        <f>SUM(E$21:E$32)</f>
        <v>6779</v>
      </c>
      <c r="F33" s="13">
        <f>SUM(F21:F32)</f>
        <v>1675789</v>
      </c>
    </row>
    <row r="34" spans="1:6" x14ac:dyDescent="0.2">
      <c r="A34" s="16"/>
      <c r="B34" s="14"/>
    </row>
    <row r="35" spans="1:6" ht="11.25" customHeight="1" x14ac:dyDescent="0.2">
      <c r="A35" s="22" t="s">
        <v>13</v>
      </c>
      <c r="B35" s="37" t="s">
        <v>41</v>
      </c>
      <c r="C35" s="37" t="s">
        <v>42</v>
      </c>
      <c r="D35" s="37" t="s">
        <v>15</v>
      </c>
      <c r="E35" s="37" t="s">
        <v>43</v>
      </c>
      <c r="F35" s="37" t="s">
        <v>9</v>
      </c>
    </row>
    <row r="36" spans="1:6" x14ac:dyDescent="0.2">
      <c r="A36" s="9" t="s">
        <v>66</v>
      </c>
      <c r="B36" s="12">
        <f t="array" ref="B36">SUM(SUMIFS(B$5:B$16,$A$5:$A$16,{"January","February","March","April","May","June"}))</f>
        <v>68630</v>
      </c>
      <c r="C36" s="12">
        <f t="array" ref="C36">SUM(SUMIFS(C$5:C$16,$A$5:$A$16,{"January","February","March","April","May","June"}))</f>
        <v>10438</v>
      </c>
      <c r="D36" s="12">
        <f t="array" ref="D36">SUM(SUMIFS(D$5:D$16,$A$5:$A$16,{"January","February","March","April","May","June"}))</f>
        <v>198816</v>
      </c>
      <c r="E36" s="12">
        <f t="array" ref="E36">SUM(SUMIFS(E$5:E$16,$A$5:$A$16,{"January","February","March","April","May","June"}))</f>
        <v>0</v>
      </c>
      <c r="F36" s="12">
        <f>SUM($B36:$E36)</f>
        <v>277884</v>
      </c>
    </row>
    <row r="37" spans="1:6" x14ac:dyDescent="0.2">
      <c r="A37" s="9" t="s">
        <v>67</v>
      </c>
      <c r="B37" s="12">
        <f t="array" ref="B37">SUM(SUMIFS(B$21:B$32,$A$21:$A$32,{"January","February","March","April","May","June"}))</f>
        <v>162899</v>
      </c>
      <c r="C37" s="12">
        <f t="array" ref="C37">SUM(SUMIFS(C$21:C$32,$A$21:$A$32,{"January","February","March","April","May","June"}))</f>
        <v>32026</v>
      </c>
      <c r="D37" s="12">
        <f t="array" ref="D37">SUM(SUMIFS(D$21:D$32,$A$21:$A$32,{"January","February","March","April","May","June"}))</f>
        <v>615900</v>
      </c>
      <c r="E37" s="12">
        <f t="array" ref="E37">SUM(SUMIFS(E$21:E$32,$A$21:$A$32,{"January","February","March","April","May","June"}))</f>
        <v>3432</v>
      </c>
      <c r="F37" s="12">
        <f>SUM($B37:$E37)</f>
        <v>814257</v>
      </c>
    </row>
    <row r="38" spans="1:6" x14ac:dyDescent="0.2">
      <c r="A38" s="9" t="s">
        <v>68</v>
      </c>
      <c r="B38" s="12">
        <f t="array" ref="B38">SUM(SUMIFS(B$5:B$16,$A$5:$A$16,{"July","August","September","October","November","December"}))</f>
        <v>77533</v>
      </c>
      <c r="C38" s="12">
        <f t="array" ref="C38">SUM(SUMIFS(C$5:C$16,$A$5:$A$16,{"July","August","September","October","November","December"}))</f>
        <v>11946</v>
      </c>
      <c r="D38" s="12">
        <f t="array" ref="D38">SUM(SUMIFS(D$5:D$16,$A$5:$A$16,{"July","August","September","October","November","December"}))</f>
        <v>242338</v>
      </c>
      <c r="E38" s="12">
        <f t="array" ref="E38">SUM(SUMIFS(E$5:E$16,$A$5:$A$16,{"July","August","September","October","November","December"}))</f>
        <v>0</v>
      </c>
      <c r="F38" s="12">
        <f>SUM($B38:$E38)</f>
        <v>331817</v>
      </c>
    </row>
    <row r="39" spans="1:6" x14ac:dyDescent="0.2">
      <c r="A39" s="9" t="s">
        <v>69</v>
      </c>
      <c r="B39" s="12">
        <f t="array" ref="B39">SUM(SUMIFS(B$21:B$32,$A$21:$A$32,{"July","August","September","October","November","December"}))</f>
        <v>169764</v>
      </c>
      <c r="C39" s="12">
        <f t="array" ref="C39">SUM(SUMIFS(C$21:C$32,$A$21:$A$32,{"July","August","September","October","November","December"}))</f>
        <v>35775</v>
      </c>
      <c r="D39" s="12">
        <f t="array" ref="D39">SUM(SUMIFS(D$21:D$32,$A$21:$A$32,{"July","August","September","October","November","December"}))</f>
        <v>652646</v>
      </c>
      <c r="E39" s="12">
        <f t="array" ref="E39">SUM(SUMIFS(E$21:E$32,$A$21:$A$32,{"July","August","September","October","November","December"}))</f>
        <v>3347</v>
      </c>
      <c r="F39" s="12">
        <f>SUM($B39:$E39)</f>
        <v>861532</v>
      </c>
    </row>
    <row r="40" spans="1:6" x14ac:dyDescent="0.2">
      <c r="A40" s="9" t="s">
        <v>9</v>
      </c>
      <c r="B40" s="13">
        <f>SUM(B$36:B$39)</f>
        <v>478826</v>
      </c>
      <c r="C40" s="13">
        <f>SUM(C$36:C$39)</f>
        <v>90185</v>
      </c>
      <c r="D40" s="13">
        <f>SUM(D$36:D$39)</f>
        <v>1709700</v>
      </c>
      <c r="E40" s="13">
        <f>SUM(E$36:E$39)</f>
        <v>6779</v>
      </c>
      <c r="F40" s="13">
        <f>SUM(F36:F39)</f>
        <v>2285490</v>
      </c>
    </row>
    <row r="41" spans="1:6" x14ac:dyDescent="0.2">
      <c r="A41" s="7"/>
      <c r="B41" s="17"/>
      <c r="C41" s="17"/>
      <c r="D41" s="17"/>
      <c r="E41" s="17"/>
      <c r="F41" s="17"/>
    </row>
    <row r="46" spans="1:6" x14ac:dyDescent="0.2">
      <c r="B46" s="18"/>
      <c r="C46" s="18"/>
      <c r="D46" s="18"/>
      <c r="E46" s="18"/>
      <c r="F46" s="18"/>
    </row>
    <row r="47" spans="1:6" x14ac:dyDescent="0.2">
      <c r="B47" s="18" t="s">
        <v>28</v>
      </c>
      <c r="C47" s="18"/>
      <c r="D47" s="18"/>
      <c r="E47" s="18"/>
      <c r="F47" s="18"/>
    </row>
    <row r="48" spans="1:6" x14ac:dyDescent="0.2">
      <c r="B48" s="18"/>
      <c r="C48" s="18"/>
      <c r="D48" s="19"/>
      <c r="E48" s="18"/>
      <c r="F48" s="18"/>
    </row>
  </sheetData>
  <sheetProtection algorithmName="SHA-512" hashValue="mkTkR5tNyoc2u6vq/OG7o0DnaRwiepP5IknF6vXNzOc6U12fqfpVBOz7A7h/l8SsRC0udvezSrLMGc81a551nw==" saltValue="I9eHznyn6g8c+nsJEeyfTA==" spinCount="100000" sheet="1" objects="1" scenarios="1"/>
  <mergeCells count="2">
    <mergeCell ref="A3:F3"/>
    <mergeCell ref="A19:F19"/>
  </mergeCells>
  <printOptions horizontalCentered="1"/>
  <pageMargins left="0.7" right="0.7" top="0.75" bottom="0.75" header="0.3" footer="0.3"/>
  <pageSetup scale="87" orientation="portrait" r:id="rId1"/>
  <headerFooter>
    <oddHeader xml:space="preserve">&amp;L&amp;"Arial,Bold"&amp;10The United Illuminating Company
Docket No: 26-01-02
&amp;C&amp;"Arial,Bold"&amp;10CONFIDENTIAL
&amp;A&amp;R&amp;"Arial,Bold"&amp;10UI Attachment 2a
Page 2 of 12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36"/>
  <sheetViews>
    <sheetView view="pageLayout" zoomScale="80" zoomScaleNormal="100" zoomScalePageLayoutView="80" workbookViewId="0">
      <selection activeCell="A27" sqref="A27:F27"/>
    </sheetView>
  </sheetViews>
  <sheetFormatPr defaultRowHeight="15" x14ac:dyDescent="0.25"/>
  <cols>
    <col min="1" max="1" width="21.42578125" style="35" customWidth="1"/>
    <col min="2" max="5" width="14.28515625" customWidth="1"/>
    <col min="6" max="8" width="13.42578125" customWidth="1"/>
    <col min="9" max="9" width="13.85546875" customWidth="1"/>
    <col min="10" max="12" width="17" customWidth="1"/>
    <col min="13" max="13" width="14.28515625" customWidth="1"/>
    <col min="14" max="14" width="17.5703125" customWidth="1"/>
  </cols>
  <sheetData>
    <row r="1" spans="1:14" ht="18" x14ac:dyDescent="0.25">
      <c r="A1" s="101" t="str">
        <f>'Instructions &amp; Summary'!A1</f>
        <v>CONFIDENTIAL UNTIL 10/20/2026</v>
      </c>
      <c r="B1" s="101"/>
      <c r="C1" s="101"/>
      <c r="D1" s="101"/>
      <c r="E1" s="101"/>
      <c r="F1" s="101"/>
      <c r="G1" s="101"/>
      <c r="H1" s="101"/>
      <c r="I1" s="101"/>
      <c r="J1" s="101"/>
      <c r="K1" s="101"/>
      <c r="L1" s="101"/>
      <c r="M1" s="101"/>
      <c r="N1" s="101"/>
    </row>
    <row r="3" spans="1:14" ht="15.75" x14ac:dyDescent="0.25">
      <c r="A3" s="34" t="s">
        <v>64</v>
      </c>
      <c r="B3" s="33" t="str">
        <f>VLOOKUP($A$3,'Instructions &amp; Summary'!$A$7:$B$14,2,FALSE)</f>
        <v>January 1, 2027 through June 30, 2027 - 10% of the SS TOTAL load</v>
      </c>
      <c r="C3" s="26"/>
      <c r="D3" s="26"/>
      <c r="E3" s="26"/>
      <c r="F3" s="26"/>
      <c r="G3" s="5"/>
    </row>
    <row r="4" spans="1:14" ht="15.75" x14ac:dyDescent="0.25">
      <c r="A4" s="34"/>
      <c r="B4" s="33"/>
      <c r="C4" s="26"/>
      <c r="D4" s="26"/>
      <c r="E4" s="26"/>
      <c r="F4" s="26"/>
      <c r="G4" s="5"/>
    </row>
    <row r="5" spans="1:14" x14ac:dyDescent="0.25">
      <c r="A5" s="108" t="s">
        <v>14</v>
      </c>
      <c r="B5" s="112" t="s">
        <v>50</v>
      </c>
      <c r="C5" s="112"/>
      <c r="D5" s="112"/>
      <c r="E5" s="112"/>
      <c r="F5" s="112" t="s">
        <v>51</v>
      </c>
      <c r="G5" s="112"/>
      <c r="H5" s="112"/>
      <c r="I5" s="112"/>
      <c r="J5" s="98" t="s">
        <v>52</v>
      </c>
      <c r="K5" s="99"/>
      <c r="L5" s="99"/>
      <c r="M5" s="99"/>
      <c r="N5" s="100"/>
    </row>
    <row r="6" spans="1:14" s="27" customFormat="1" ht="12.75" x14ac:dyDescent="0.2">
      <c r="A6" s="108"/>
      <c r="B6" s="21" t="s">
        <v>41</v>
      </c>
      <c r="C6" s="21" t="s">
        <v>42</v>
      </c>
      <c r="D6" s="21" t="s">
        <v>15</v>
      </c>
      <c r="E6" s="21" t="s">
        <v>43</v>
      </c>
      <c r="F6" s="21" t="s">
        <v>41</v>
      </c>
      <c r="G6" s="21" t="s">
        <v>42</v>
      </c>
      <c r="H6" s="21" t="s">
        <v>15</v>
      </c>
      <c r="I6" s="21" t="s">
        <v>43</v>
      </c>
      <c r="J6" s="21" t="s">
        <v>41</v>
      </c>
      <c r="K6" s="21" t="s">
        <v>42</v>
      </c>
      <c r="L6" s="21" t="s">
        <v>15</v>
      </c>
      <c r="M6" s="21" t="s">
        <v>43</v>
      </c>
      <c r="N6" s="44" t="s">
        <v>9</v>
      </c>
    </row>
    <row r="7" spans="1:14" s="27" customFormat="1" ht="12.75" x14ac:dyDescent="0.2">
      <c r="A7" s="36" t="str">
        <f>IF('Instructions &amp; Summary'!$E$3="1H","January","July")</f>
        <v>January</v>
      </c>
      <c r="B7" s="41">
        <f>VLOOKUP($A7,'Bidding Load'!$A$5:$E$16,MATCH(B$6,'Bidding Load'!$A$4:$E$4,0),FALSE)</f>
        <v>12910</v>
      </c>
      <c r="C7" s="41">
        <f>VLOOKUP($A7,'Bidding Load'!$A$5:$E$16,MATCH(C$6,'Bidding Load'!$A$4:$E$4,0),FALSE)</f>
        <v>1704</v>
      </c>
      <c r="D7" s="41">
        <f>VLOOKUP($A7,'Bidding Load'!$A$5:$E$16,MATCH(D$6,'Bidding Load'!$A$4:$E$4,0),FALSE)</f>
        <v>45302</v>
      </c>
      <c r="E7" s="41">
        <f>VLOOKUP($A7,'Bidding Load'!$A$5:$E$16,MATCH(E$6,'Bidding Load'!$A$4:$E$4,0),FALSE)</f>
        <v>0</v>
      </c>
      <c r="F7" s="54"/>
      <c r="G7" s="54"/>
      <c r="H7" s="54"/>
      <c r="I7" s="59" t="s">
        <v>44</v>
      </c>
      <c r="J7" s="56">
        <f t="shared" ref="J7:J12" si="0">ROUND(F7,2)*B7</f>
        <v>0</v>
      </c>
      <c r="K7" s="56">
        <f t="shared" ref="K7:K12" si="1">ROUND(G7,2)*C7</f>
        <v>0</v>
      </c>
      <c r="L7" s="56">
        <f t="shared" ref="L7:L12" si="2">ROUND(H7,2)*D7</f>
        <v>0</v>
      </c>
      <c r="M7" s="40" t="s">
        <v>44</v>
      </c>
      <c r="N7" s="56">
        <f t="shared" ref="N7:N12" si="3">SUM(J7:L7)</f>
        <v>0</v>
      </c>
    </row>
    <row r="8" spans="1:14" s="27" customFormat="1" ht="12.75" x14ac:dyDescent="0.2">
      <c r="A8" s="36" t="str">
        <f>IF('Instructions &amp; Summary'!$E$3="1H","February","August")</f>
        <v>February</v>
      </c>
      <c r="B8" s="41">
        <f>VLOOKUP($A8,'Bidding Load'!$A$5:$E$16,MATCH(B$6,'Bidding Load'!$A$4:$E$4,0),FALSE)</f>
        <v>11351</v>
      </c>
      <c r="C8" s="41">
        <f>VLOOKUP($A8,'Bidding Load'!$A$5:$E$16,MATCH(C$6,'Bidding Load'!$A$4:$E$4,0),FALSE)</f>
        <v>1853</v>
      </c>
      <c r="D8" s="41">
        <f>VLOOKUP($A8,'Bidding Load'!$A$5:$E$16,MATCH(D$6,'Bidding Load'!$A$4:$E$4,0),FALSE)</f>
        <v>36807</v>
      </c>
      <c r="E8" s="41">
        <f>VLOOKUP($A8,'Bidding Load'!$A$5:$E$16,MATCH(E$6,'Bidding Load'!$A$4:$E$4,0),FALSE)</f>
        <v>0</v>
      </c>
      <c r="F8" s="54"/>
      <c r="G8" s="54"/>
      <c r="H8" s="54"/>
      <c r="I8" s="59" t="s">
        <v>44</v>
      </c>
      <c r="J8" s="56">
        <f t="shared" si="0"/>
        <v>0</v>
      </c>
      <c r="K8" s="56">
        <f t="shared" si="1"/>
        <v>0</v>
      </c>
      <c r="L8" s="56">
        <f t="shared" si="2"/>
        <v>0</v>
      </c>
      <c r="M8" s="40" t="s">
        <v>44</v>
      </c>
      <c r="N8" s="56">
        <f t="shared" si="3"/>
        <v>0</v>
      </c>
    </row>
    <row r="9" spans="1:14" s="27" customFormat="1" ht="12.75" x14ac:dyDescent="0.2">
      <c r="A9" s="36" t="str">
        <f>IF('Instructions &amp; Summary'!$E$3="1H","March","September")</f>
        <v>March</v>
      </c>
      <c r="B9" s="41">
        <f>VLOOKUP($A9,'Bidding Load'!$A$5:$E$16,MATCH(B$6,'Bidding Load'!$A$4:$E$4,0),FALSE)</f>
        <v>10474</v>
      </c>
      <c r="C9" s="41">
        <f>VLOOKUP($A9,'Bidding Load'!$A$5:$E$16,MATCH(C$6,'Bidding Load'!$A$4:$E$4,0),FALSE)</f>
        <v>1618</v>
      </c>
      <c r="D9" s="41">
        <f>VLOOKUP($A9,'Bidding Load'!$A$5:$E$16,MATCH(D$6,'Bidding Load'!$A$4:$E$4,0),FALSE)</f>
        <v>27827</v>
      </c>
      <c r="E9" s="41">
        <f>VLOOKUP($A9,'Bidding Load'!$A$5:$E$16,MATCH(E$6,'Bidding Load'!$A$4:$E$4,0),FALSE)</f>
        <v>0</v>
      </c>
      <c r="F9" s="54"/>
      <c r="G9" s="54"/>
      <c r="H9" s="54"/>
      <c r="I9" s="59" t="s">
        <v>44</v>
      </c>
      <c r="J9" s="56">
        <f t="shared" si="0"/>
        <v>0</v>
      </c>
      <c r="K9" s="56">
        <f t="shared" si="1"/>
        <v>0</v>
      </c>
      <c r="L9" s="56">
        <f t="shared" si="2"/>
        <v>0</v>
      </c>
      <c r="M9" s="40" t="s">
        <v>44</v>
      </c>
      <c r="N9" s="56">
        <f t="shared" si="3"/>
        <v>0</v>
      </c>
    </row>
    <row r="10" spans="1:14" s="27" customFormat="1" ht="12.75" x14ac:dyDescent="0.2">
      <c r="A10" s="36" t="str">
        <f>IF('Instructions &amp; Summary'!$E$3="1H","April","October")</f>
        <v>April</v>
      </c>
      <c r="B10" s="41">
        <f>VLOOKUP($A10,'Bidding Load'!$A$5:$E$16,MATCH(B$6,'Bidding Load'!$A$4:$E$4,0),FALSE)</f>
        <v>10208</v>
      </c>
      <c r="C10" s="41">
        <f>VLOOKUP($A10,'Bidding Load'!$A$5:$E$16,MATCH(C$6,'Bidding Load'!$A$4:$E$4,0),FALSE)</f>
        <v>1624</v>
      </c>
      <c r="D10" s="41">
        <f>VLOOKUP($A10,'Bidding Load'!$A$5:$E$16,MATCH(D$6,'Bidding Load'!$A$4:$E$4,0),FALSE)</f>
        <v>26207</v>
      </c>
      <c r="E10" s="41">
        <f>VLOOKUP($A10,'Bidding Load'!$A$5:$E$16,MATCH(E$6,'Bidding Load'!$A$4:$E$4,0),FALSE)</f>
        <v>0</v>
      </c>
      <c r="F10" s="54"/>
      <c r="G10" s="54"/>
      <c r="H10" s="54"/>
      <c r="I10" s="59" t="s">
        <v>44</v>
      </c>
      <c r="J10" s="56">
        <f t="shared" si="0"/>
        <v>0</v>
      </c>
      <c r="K10" s="56">
        <f t="shared" si="1"/>
        <v>0</v>
      </c>
      <c r="L10" s="56">
        <f t="shared" si="2"/>
        <v>0</v>
      </c>
      <c r="M10" s="40" t="s">
        <v>44</v>
      </c>
      <c r="N10" s="56">
        <f t="shared" si="3"/>
        <v>0</v>
      </c>
    </row>
    <row r="11" spans="1:14" s="27" customFormat="1" ht="12.75" x14ac:dyDescent="0.2">
      <c r="A11" s="36" t="str">
        <f>IF('Instructions &amp; Summary'!$E$3="1H","May","November")</f>
        <v>May</v>
      </c>
      <c r="B11" s="41">
        <f>VLOOKUP($A11,'Bidding Load'!$A$5:$E$16,MATCH(B$6,'Bidding Load'!$A$4:$E$4,0),FALSE)</f>
        <v>10432</v>
      </c>
      <c r="C11" s="41">
        <f>VLOOKUP($A11,'Bidding Load'!$A$5:$E$16,MATCH(C$6,'Bidding Load'!$A$4:$E$4,0),FALSE)</f>
        <v>1787</v>
      </c>
      <c r="D11" s="41">
        <f>VLOOKUP($A11,'Bidding Load'!$A$5:$E$16,MATCH(D$6,'Bidding Load'!$A$4:$E$4,0),FALSE)</f>
        <v>25041</v>
      </c>
      <c r="E11" s="41">
        <f>VLOOKUP($A11,'Bidding Load'!$A$5:$E$16,MATCH(E$6,'Bidding Load'!$A$4:$E$4,0),FALSE)</f>
        <v>0</v>
      </c>
      <c r="F11" s="54"/>
      <c r="G11" s="54"/>
      <c r="H11" s="54"/>
      <c r="I11" s="59" t="s">
        <v>44</v>
      </c>
      <c r="J11" s="56">
        <f t="shared" si="0"/>
        <v>0</v>
      </c>
      <c r="K11" s="56">
        <f t="shared" si="1"/>
        <v>0</v>
      </c>
      <c r="L11" s="56">
        <f t="shared" si="2"/>
        <v>0</v>
      </c>
      <c r="M11" s="40" t="s">
        <v>44</v>
      </c>
      <c r="N11" s="56">
        <f t="shared" si="3"/>
        <v>0</v>
      </c>
    </row>
    <row r="12" spans="1:14" s="27" customFormat="1" ht="12.75" x14ac:dyDescent="0.2">
      <c r="A12" s="36" t="str">
        <f>IF('Instructions &amp; Summary'!$E$3="1H","June","December")</f>
        <v>June</v>
      </c>
      <c r="B12" s="41">
        <f>VLOOKUP($A12,'Bidding Load'!$A$5:$E$16,MATCH(B$6,'Bidding Load'!$A$4:$E$4,0),FALSE)</f>
        <v>13255</v>
      </c>
      <c r="C12" s="41">
        <f>VLOOKUP($A12,'Bidding Load'!$A$5:$E$16,MATCH(C$6,'Bidding Load'!$A$4:$E$4,0),FALSE)</f>
        <v>1852</v>
      </c>
      <c r="D12" s="41">
        <f>VLOOKUP($A12,'Bidding Load'!$A$5:$E$16,MATCH(D$6,'Bidding Load'!$A$4:$E$4,0),FALSE)</f>
        <v>37632</v>
      </c>
      <c r="E12" s="41">
        <f>VLOOKUP($A12,'Bidding Load'!$A$5:$E$16,MATCH(E$6,'Bidding Load'!$A$4:$E$4,0),FALSE)</f>
        <v>0</v>
      </c>
      <c r="F12" s="54"/>
      <c r="G12" s="54"/>
      <c r="H12" s="54"/>
      <c r="I12" s="59" t="s">
        <v>44</v>
      </c>
      <c r="J12" s="56">
        <f t="shared" si="0"/>
        <v>0</v>
      </c>
      <c r="K12" s="56">
        <f t="shared" si="1"/>
        <v>0</v>
      </c>
      <c r="L12" s="56">
        <f t="shared" si="2"/>
        <v>0</v>
      </c>
      <c r="M12" s="40" t="s">
        <v>44</v>
      </c>
      <c r="N12" s="56">
        <f t="shared" si="3"/>
        <v>0</v>
      </c>
    </row>
    <row r="13" spans="1:14" x14ac:dyDescent="0.25">
      <c r="A13" s="39" t="s">
        <v>45</v>
      </c>
      <c r="B13" s="42">
        <f>SUM(B7:B12)</f>
        <v>68630</v>
      </c>
      <c r="C13" s="42">
        <f>SUM(C7:C12)</f>
        <v>10438</v>
      </c>
      <c r="D13" s="42">
        <f>SUM(D7:D12)</f>
        <v>198816</v>
      </c>
      <c r="E13" s="42">
        <f>SUM(E7:E12)</f>
        <v>0</v>
      </c>
      <c r="F13" s="37" t="s">
        <v>44</v>
      </c>
      <c r="G13" s="37" t="s">
        <v>44</v>
      </c>
      <c r="H13" s="37" t="s">
        <v>44</v>
      </c>
      <c r="I13" s="37" t="s">
        <v>44</v>
      </c>
      <c r="J13" s="58">
        <f>SUM(J7:J12)</f>
        <v>0</v>
      </c>
      <c r="K13" s="58">
        <f>SUM(K7:K12)</f>
        <v>0</v>
      </c>
      <c r="L13" s="58">
        <f>SUM(L7:L12)</f>
        <v>0</v>
      </c>
      <c r="M13" s="37" t="s">
        <v>44</v>
      </c>
      <c r="N13" s="58">
        <f>SUM(N7:N12)</f>
        <v>0</v>
      </c>
    </row>
    <row r="15" spans="1:14" x14ac:dyDescent="0.25">
      <c r="A15" s="39" t="s">
        <v>56</v>
      </c>
      <c r="B15" s="43">
        <f>SUM(B13:E13)</f>
        <v>277884</v>
      </c>
    </row>
    <row r="16" spans="1:14" x14ac:dyDescent="0.25">
      <c r="G16" s="5"/>
    </row>
    <row r="17" spans="1:256" x14ac:dyDescent="0.25">
      <c r="A17" s="108" t="s">
        <v>14</v>
      </c>
      <c r="B17" s="112" t="s">
        <v>53</v>
      </c>
      <c r="C17" s="112"/>
      <c r="D17" s="112"/>
      <c r="E17" s="112"/>
      <c r="F17" s="112" t="s">
        <v>54</v>
      </c>
      <c r="G17" s="112"/>
      <c r="H17" s="112"/>
      <c r="I17" s="112"/>
      <c r="J17" s="98" t="s">
        <v>55</v>
      </c>
      <c r="K17" s="99"/>
      <c r="L17" s="99"/>
      <c r="M17" s="99"/>
      <c r="N17" s="100"/>
    </row>
    <row r="18" spans="1:256" s="27" customFormat="1" ht="12.75" x14ac:dyDescent="0.2">
      <c r="A18" s="108"/>
      <c r="B18" s="21" t="s">
        <v>41</v>
      </c>
      <c r="C18" s="21" t="s">
        <v>42</v>
      </c>
      <c r="D18" s="21" t="s">
        <v>15</v>
      </c>
      <c r="E18" s="21" t="s">
        <v>43</v>
      </c>
      <c r="F18" s="21" t="s">
        <v>41</v>
      </c>
      <c r="G18" s="21" t="s">
        <v>42</v>
      </c>
      <c r="H18" s="21" t="s">
        <v>15</v>
      </c>
      <c r="I18" s="21" t="s">
        <v>43</v>
      </c>
      <c r="J18" s="21" t="s">
        <v>41</v>
      </c>
      <c r="K18" s="21" t="s">
        <v>42</v>
      </c>
      <c r="L18" s="21" t="s">
        <v>15</v>
      </c>
      <c r="M18" s="21" t="s">
        <v>43</v>
      </c>
      <c r="N18" s="44" t="s">
        <v>9</v>
      </c>
    </row>
    <row r="19" spans="1:256" s="27" customFormat="1" ht="12.75" x14ac:dyDescent="0.2">
      <c r="A19" s="36" t="str">
        <f>IF('Instructions &amp; Summary'!$E$3="1H","January","July")</f>
        <v>January</v>
      </c>
      <c r="B19" s="41">
        <f>VLOOKUP($A19,'Bidding Load'!$A$21:$E$32,MATCH(B$18,'Bidding Load'!$A$20:$E$20,0),FALSE)</f>
        <v>31535</v>
      </c>
      <c r="C19" s="41">
        <f>VLOOKUP($A19,'Bidding Load'!$A$21:$E$32,MATCH(C$18,'Bidding Load'!$A$20:$E$20,0),FALSE)</f>
        <v>5311</v>
      </c>
      <c r="D19" s="41">
        <f>VLOOKUP($A19,'Bidding Load'!$A$21:$E$32,MATCH(D$18,'Bidding Load'!$A$20:$E$20,0),FALSE)</f>
        <v>134881</v>
      </c>
      <c r="E19" s="41">
        <f>VLOOKUP($A19,'Bidding Load'!$A$21:$E$32,MATCH(E$18,'Bidding Load'!$A$20:$E$20,0),FALSE)</f>
        <v>741</v>
      </c>
      <c r="F19" s="54"/>
      <c r="G19" s="54"/>
      <c r="H19" s="54"/>
      <c r="I19" s="54"/>
      <c r="J19" s="56">
        <f t="shared" ref="J19:J24" si="4">ROUND(F19,2)*B19</f>
        <v>0</v>
      </c>
      <c r="K19" s="56">
        <f t="shared" ref="K19:K24" si="5">ROUND(G19,2)*C19</f>
        <v>0</v>
      </c>
      <c r="L19" s="56">
        <f t="shared" ref="L19:M24" si="6">ROUND(H19,2)*D19</f>
        <v>0</v>
      </c>
      <c r="M19" s="56">
        <f t="shared" si="6"/>
        <v>0</v>
      </c>
      <c r="N19" s="56">
        <f t="shared" ref="N19:N24" si="7">SUM(J19:M19)</f>
        <v>0</v>
      </c>
    </row>
    <row r="20" spans="1:256" s="27" customFormat="1" ht="12.75" x14ac:dyDescent="0.2">
      <c r="A20" s="36" t="str">
        <f>IF('Instructions &amp; Summary'!$E$3="1H","February","August")</f>
        <v>February</v>
      </c>
      <c r="B20" s="41">
        <f>VLOOKUP($A20,'Bidding Load'!$A$21:$E$32,MATCH(B$18,'Bidding Load'!$A$20:$E$20,0),FALSE)</f>
        <v>28300</v>
      </c>
      <c r="C20" s="41">
        <f>VLOOKUP($A20,'Bidding Load'!$A$21:$E$32,MATCH(C$18,'Bidding Load'!$A$20:$E$20,0),FALSE)</f>
        <v>5425</v>
      </c>
      <c r="D20" s="41">
        <f>VLOOKUP($A20,'Bidding Load'!$A$21:$E$32,MATCH(D$18,'Bidding Load'!$A$20:$E$20,0),FALSE)</f>
        <v>117905</v>
      </c>
      <c r="E20" s="41">
        <f>VLOOKUP($A20,'Bidding Load'!$A$21:$E$32,MATCH(E$18,'Bidding Load'!$A$20:$E$20,0),FALSE)</f>
        <v>741</v>
      </c>
      <c r="F20" s="54"/>
      <c r="G20" s="54"/>
      <c r="H20" s="54"/>
      <c r="I20" s="54"/>
      <c r="J20" s="56">
        <f t="shared" si="4"/>
        <v>0</v>
      </c>
      <c r="K20" s="56">
        <f t="shared" si="5"/>
        <v>0</v>
      </c>
      <c r="L20" s="56">
        <f t="shared" si="6"/>
        <v>0</v>
      </c>
      <c r="M20" s="56">
        <f t="shared" si="6"/>
        <v>0</v>
      </c>
      <c r="N20" s="56">
        <f t="shared" si="7"/>
        <v>0</v>
      </c>
    </row>
    <row r="21" spans="1:256" s="27" customFormat="1" ht="12.75" x14ac:dyDescent="0.2">
      <c r="A21" s="36" t="str">
        <f>IF('Instructions &amp; Summary'!$E$3="1H","March","September")</f>
        <v>March</v>
      </c>
      <c r="B21" s="41">
        <f>VLOOKUP($A21,'Bidding Load'!$A$21:$E$32,MATCH(B$18,'Bidding Load'!$A$20:$E$20,0),FALSE)</f>
        <v>26204</v>
      </c>
      <c r="C21" s="41">
        <f>VLOOKUP($A21,'Bidding Load'!$A$21:$E$32,MATCH(C$18,'Bidding Load'!$A$20:$E$20,0),FALSE)</f>
        <v>4787</v>
      </c>
      <c r="D21" s="41">
        <f>VLOOKUP($A21,'Bidding Load'!$A$21:$E$32,MATCH(D$18,'Bidding Load'!$A$20:$E$20,0),FALSE)</f>
        <v>96196</v>
      </c>
      <c r="E21" s="41">
        <f>VLOOKUP($A21,'Bidding Load'!$A$21:$E$32,MATCH(E$18,'Bidding Load'!$A$20:$E$20,0),FALSE)</f>
        <v>544</v>
      </c>
      <c r="F21" s="54"/>
      <c r="G21" s="54"/>
      <c r="H21" s="54"/>
      <c r="I21" s="54"/>
      <c r="J21" s="56">
        <f t="shared" si="4"/>
        <v>0</v>
      </c>
      <c r="K21" s="56">
        <f t="shared" si="5"/>
        <v>0</v>
      </c>
      <c r="L21" s="56">
        <f t="shared" si="6"/>
        <v>0</v>
      </c>
      <c r="M21" s="56">
        <f t="shared" si="6"/>
        <v>0</v>
      </c>
      <c r="N21" s="56">
        <f t="shared" si="7"/>
        <v>0</v>
      </c>
    </row>
    <row r="22" spans="1:256" s="27" customFormat="1" ht="12.75" x14ac:dyDescent="0.2">
      <c r="A22" s="36" t="str">
        <f>IF('Instructions &amp; Summary'!$E$3="1H","April","October")</f>
        <v>April</v>
      </c>
      <c r="B22" s="41">
        <f>VLOOKUP($A22,'Bidding Load'!$A$21:$E$32,MATCH(B$18,'Bidding Load'!$A$20:$E$20,0),FALSE)</f>
        <v>24551</v>
      </c>
      <c r="C22" s="41">
        <f>VLOOKUP($A22,'Bidding Load'!$A$21:$E$32,MATCH(C$18,'Bidding Load'!$A$20:$E$20,0),FALSE)</f>
        <v>5326</v>
      </c>
      <c r="D22" s="41">
        <f>VLOOKUP($A22,'Bidding Load'!$A$21:$E$32,MATCH(D$18,'Bidding Load'!$A$20:$E$20,0),FALSE)</f>
        <v>85641</v>
      </c>
      <c r="E22" s="41">
        <f>VLOOKUP($A22,'Bidding Load'!$A$21:$E$32,MATCH(E$18,'Bidding Load'!$A$20:$E$20,0),FALSE)</f>
        <v>501</v>
      </c>
      <c r="F22" s="54"/>
      <c r="G22" s="54"/>
      <c r="H22" s="54"/>
      <c r="I22" s="54"/>
      <c r="J22" s="56">
        <f t="shared" si="4"/>
        <v>0</v>
      </c>
      <c r="K22" s="56">
        <f t="shared" si="5"/>
        <v>0</v>
      </c>
      <c r="L22" s="56">
        <f t="shared" si="6"/>
        <v>0</v>
      </c>
      <c r="M22" s="56">
        <f t="shared" si="6"/>
        <v>0</v>
      </c>
      <c r="N22" s="56">
        <f t="shared" si="7"/>
        <v>0</v>
      </c>
    </row>
    <row r="23" spans="1:256" s="27" customFormat="1" ht="12.75" x14ac:dyDescent="0.2">
      <c r="A23" s="36" t="str">
        <f>IF('Instructions &amp; Summary'!$E$3="1H","May","November")</f>
        <v>May</v>
      </c>
      <c r="B23" s="41">
        <f>VLOOKUP($A23,'Bidding Load'!$A$21:$E$32,MATCH(B$18,'Bidding Load'!$A$20:$E$20,0),FALSE)</f>
        <v>24769</v>
      </c>
      <c r="C23" s="41">
        <f>VLOOKUP($A23,'Bidding Load'!$A$21:$E$32,MATCH(C$18,'Bidding Load'!$A$20:$E$20,0),FALSE)</f>
        <v>5647</v>
      </c>
      <c r="D23" s="41">
        <f>VLOOKUP($A23,'Bidding Load'!$A$21:$E$32,MATCH(D$18,'Bidding Load'!$A$20:$E$20,0),FALSE)</f>
        <v>79724</v>
      </c>
      <c r="E23" s="41">
        <f>VLOOKUP($A23,'Bidding Load'!$A$21:$E$32,MATCH(E$18,'Bidding Load'!$A$20:$E$20,0),FALSE)</f>
        <v>490</v>
      </c>
      <c r="F23" s="54"/>
      <c r="G23" s="54"/>
      <c r="H23" s="54"/>
      <c r="I23" s="54"/>
      <c r="J23" s="56">
        <f t="shared" si="4"/>
        <v>0</v>
      </c>
      <c r="K23" s="56">
        <f t="shared" si="5"/>
        <v>0</v>
      </c>
      <c r="L23" s="56">
        <f t="shared" si="6"/>
        <v>0</v>
      </c>
      <c r="M23" s="56">
        <f t="shared" si="6"/>
        <v>0</v>
      </c>
      <c r="N23" s="56">
        <f t="shared" si="7"/>
        <v>0</v>
      </c>
    </row>
    <row r="24" spans="1:256" s="27" customFormat="1" ht="12.75" x14ac:dyDescent="0.2">
      <c r="A24" s="36" t="str">
        <f>IF('Instructions &amp; Summary'!$E$3="1H","June","December")</f>
        <v>June</v>
      </c>
      <c r="B24" s="41">
        <f>VLOOKUP($A24,'Bidding Load'!$A$21:$E$32,MATCH(B$18,'Bidding Load'!$A$20:$E$20,0),FALSE)</f>
        <v>27540</v>
      </c>
      <c r="C24" s="41">
        <f>VLOOKUP($A24,'Bidding Load'!$A$21:$E$32,MATCH(C$18,'Bidding Load'!$A$20:$E$20,0),FALSE)</f>
        <v>5530</v>
      </c>
      <c r="D24" s="41">
        <f>VLOOKUP($A24,'Bidding Load'!$A$21:$E$32,MATCH(D$18,'Bidding Load'!$A$20:$E$20,0),FALSE)</f>
        <v>101553</v>
      </c>
      <c r="E24" s="41">
        <f>VLOOKUP($A24,'Bidding Load'!$A$21:$E$32,MATCH(E$18,'Bidding Load'!$A$20:$E$20,0),FALSE)</f>
        <v>415</v>
      </c>
      <c r="F24" s="54"/>
      <c r="G24" s="54"/>
      <c r="H24" s="54"/>
      <c r="I24" s="54"/>
      <c r="J24" s="56">
        <f t="shared" si="4"/>
        <v>0</v>
      </c>
      <c r="K24" s="56">
        <f t="shared" si="5"/>
        <v>0</v>
      </c>
      <c r="L24" s="56">
        <f t="shared" si="6"/>
        <v>0</v>
      </c>
      <c r="M24" s="56">
        <f t="shared" si="6"/>
        <v>0</v>
      </c>
      <c r="N24" s="56">
        <f t="shared" si="7"/>
        <v>0</v>
      </c>
    </row>
    <row r="25" spans="1:256" x14ac:dyDescent="0.25">
      <c r="A25" s="39" t="s">
        <v>45</v>
      </c>
      <c r="B25" s="42">
        <f>SUM(B19:B24)</f>
        <v>162899</v>
      </c>
      <c r="C25" s="42">
        <f>SUM(C19:C24)</f>
        <v>32026</v>
      </c>
      <c r="D25" s="42">
        <f>SUM(D19:D24)</f>
        <v>615900</v>
      </c>
      <c r="E25" s="42">
        <f>SUM(E19:E24)</f>
        <v>3432</v>
      </c>
      <c r="F25" s="37" t="s">
        <v>44</v>
      </c>
      <c r="G25" s="37" t="s">
        <v>44</v>
      </c>
      <c r="H25" s="37" t="s">
        <v>44</v>
      </c>
      <c r="I25" s="37" t="s">
        <v>44</v>
      </c>
      <c r="J25" s="58">
        <f>SUM(J19:J24)</f>
        <v>0</v>
      </c>
      <c r="K25" s="58">
        <f>SUM(K19:K24)</f>
        <v>0</v>
      </c>
      <c r="L25" s="58">
        <f>SUM(L19:L24)</f>
        <v>0</v>
      </c>
      <c r="M25" s="58">
        <f>SUM(M19:M24)</f>
        <v>0</v>
      </c>
      <c r="N25" s="58">
        <f>SUM(N19:N24)</f>
        <v>0</v>
      </c>
      <c r="O25" s="28"/>
      <c r="P25" s="29"/>
      <c r="Q25" s="29"/>
      <c r="R25" s="29"/>
      <c r="S25" s="29"/>
      <c r="T25" s="28"/>
      <c r="U25" s="3"/>
      <c r="V25" s="3"/>
      <c r="W25" s="3"/>
      <c r="X25" s="30"/>
      <c r="Y25" s="30"/>
      <c r="Z25" s="30"/>
      <c r="AA25" s="31"/>
      <c r="AB25" s="30"/>
      <c r="AC25" s="28"/>
      <c r="AD25" s="29"/>
      <c r="AE25" s="29"/>
      <c r="AF25" s="29"/>
      <c r="AG25" s="29"/>
      <c r="AH25" s="28"/>
      <c r="AI25" s="3"/>
      <c r="AJ25" s="3"/>
      <c r="AK25" s="3"/>
      <c r="AL25" s="30"/>
      <c r="AM25" s="30"/>
      <c r="AN25" s="30"/>
      <c r="AO25" s="31"/>
      <c r="AP25" s="30"/>
      <c r="AQ25" s="28"/>
      <c r="AR25" s="29"/>
      <c r="AS25" s="29"/>
      <c r="AT25" s="29"/>
      <c r="AU25" s="29"/>
      <c r="AV25" s="28"/>
      <c r="AW25" s="3"/>
      <c r="AX25" s="3"/>
      <c r="AY25" s="3"/>
      <c r="AZ25" s="30"/>
      <c r="BA25" s="30"/>
      <c r="BB25" s="30"/>
      <c r="BC25" s="31"/>
      <c r="BD25" s="30"/>
      <c r="BE25" s="28"/>
      <c r="BF25" s="29"/>
      <c r="BG25" s="29"/>
      <c r="BH25" s="29"/>
      <c r="BI25" s="29"/>
      <c r="BJ25" s="28"/>
      <c r="BK25" s="3"/>
      <c r="BL25" s="3"/>
      <c r="BM25" s="3"/>
      <c r="BN25" s="30"/>
      <c r="BO25" s="30"/>
      <c r="BP25" s="30"/>
      <c r="BQ25" s="31"/>
      <c r="BR25" s="30"/>
      <c r="BS25" s="28"/>
      <c r="BT25" s="29"/>
      <c r="BU25" s="29"/>
      <c r="BV25" s="29"/>
      <c r="BW25" s="29"/>
      <c r="BX25" s="28"/>
      <c r="BY25" s="3"/>
      <c r="BZ25" s="3"/>
      <c r="CA25" s="3"/>
      <c r="CB25" s="30"/>
      <c r="CC25" s="30"/>
      <c r="CD25" s="30"/>
      <c r="CE25" s="31"/>
      <c r="CF25" s="30"/>
      <c r="CG25" s="28"/>
      <c r="CH25" s="29"/>
      <c r="CI25" s="29"/>
      <c r="CJ25" s="29"/>
      <c r="CK25" s="29"/>
      <c r="CL25" s="28"/>
      <c r="CM25" s="3"/>
      <c r="CN25" s="3"/>
      <c r="CO25" s="3"/>
      <c r="CP25" s="30"/>
      <c r="CQ25" s="30"/>
      <c r="CR25" s="30"/>
      <c r="CS25" s="31"/>
      <c r="CT25" s="30"/>
      <c r="CU25" s="28"/>
      <c r="CV25" s="29"/>
      <c r="CW25" s="29"/>
      <c r="CX25" s="29"/>
      <c r="CY25" s="29"/>
      <c r="CZ25" s="28"/>
      <c r="DA25" s="3"/>
      <c r="DB25" s="3"/>
      <c r="DC25" s="3"/>
      <c r="DD25" s="30"/>
      <c r="DE25" s="30"/>
      <c r="DF25" s="30"/>
      <c r="DG25" s="31"/>
      <c r="DH25" s="30"/>
      <c r="DI25" s="28"/>
      <c r="DJ25" s="29"/>
      <c r="DK25" s="29"/>
      <c r="DL25" s="29"/>
      <c r="DM25" s="29"/>
      <c r="DN25" s="28"/>
      <c r="DO25" s="3"/>
      <c r="DP25" s="3"/>
      <c r="DQ25" s="3"/>
      <c r="DR25" s="30"/>
      <c r="DS25" s="30"/>
      <c r="DT25" s="30"/>
      <c r="DU25" s="31"/>
      <c r="DV25" s="30"/>
      <c r="DW25" s="28"/>
      <c r="DX25" s="29"/>
      <c r="DY25" s="29"/>
      <c r="DZ25" s="29"/>
      <c r="EA25" s="29"/>
      <c r="EB25" s="28"/>
      <c r="EC25" s="3"/>
      <c r="ED25" s="3"/>
      <c r="EE25" s="3"/>
      <c r="EF25" s="30"/>
      <c r="EG25" s="30"/>
      <c r="EH25" s="30"/>
      <c r="EI25" s="31"/>
      <c r="EJ25" s="30"/>
      <c r="EK25" s="28"/>
      <c r="EL25" s="29"/>
      <c r="EM25" s="29"/>
      <c r="EN25" s="29"/>
      <c r="EO25" s="29"/>
      <c r="EP25" s="28"/>
      <c r="EQ25" s="3"/>
      <c r="ER25" s="3"/>
      <c r="ES25" s="3"/>
      <c r="ET25" s="30"/>
      <c r="EU25" s="30"/>
      <c r="EV25" s="30"/>
      <c r="EW25" s="31"/>
      <c r="EX25" s="30"/>
      <c r="EY25" s="28"/>
      <c r="EZ25" s="29"/>
      <c r="FA25" s="29"/>
      <c r="FB25" s="29"/>
      <c r="FC25" s="29"/>
      <c r="FD25" s="28"/>
      <c r="FE25" s="3"/>
      <c r="FF25" s="3"/>
      <c r="FG25" s="3"/>
      <c r="FH25" s="30"/>
      <c r="FI25" s="30"/>
      <c r="FJ25" s="30"/>
      <c r="FK25" s="31"/>
      <c r="FL25" s="30"/>
      <c r="FM25" s="28"/>
      <c r="FN25" s="29"/>
      <c r="FO25" s="29"/>
      <c r="FP25" s="29"/>
      <c r="FQ25" s="29"/>
      <c r="FR25" s="28"/>
      <c r="FS25" s="3"/>
      <c r="FT25" s="3"/>
      <c r="FU25" s="3"/>
      <c r="FV25" s="30"/>
      <c r="FW25" s="30"/>
      <c r="FX25" s="30"/>
      <c r="FY25" s="31"/>
      <c r="FZ25" s="30"/>
      <c r="GA25" s="28"/>
      <c r="GB25" s="29"/>
      <c r="GC25" s="29"/>
      <c r="GD25" s="29"/>
      <c r="GE25" s="29"/>
      <c r="GF25" s="28"/>
      <c r="GG25" s="3"/>
      <c r="GH25" s="3"/>
      <c r="GI25" s="3"/>
      <c r="GJ25" s="30"/>
      <c r="GK25" s="30"/>
      <c r="GL25" s="30"/>
      <c r="GM25" s="31"/>
      <c r="GN25" s="30"/>
      <c r="GO25" s="28"/>
      <c r="GP25" s="29"/>
      <c r="GQ25" s="29"/>
      <c r="GR25" s="29"/>
      <c r="GS25" s="29"/>
      <c r="GT25" s="28"/>
      <c r="GU25" s="3"/>
      <c r="GV25" s="3"/>
      <c r="GW25" s="3"/>
      <c r="GX25" s="30"/>
      <c r="GY25" s="30"/>
      <c r="GZ25" s="30"/>
      <c r="HA25" s="31"/>
      <c r="HB25" s="30"/>
      <c r="HC25" s="28"/>
      <c r="HD25" s="29"/>
      <c r="HE25" s="29"/>
      <c r="HF25" s="29"/>
      <c r="HG25" s="29"/>
      <c r="HH25" s="28"/>
      <c r="HI25" s="3"/>
      <c r="HJ25" s="3"/>
      <c r="HK25" s="3"/>
      <c r="HL25" s="30"/>
      <c r="HM25" s="30"/>
      <c r="HN25" s="30"/>
      <c r="HO25" s="31"/>
      <c r="HP25" s="30"/>
      <c r="HQ25" s="28"/>
      <c r="HR25" s="29"/>
      <c r="HS25" s="29"/>
      <c r="HT25" s="29"/>
      <c r="HU25" s="29"/>
      <c r="HV25" s="28"/>
      <c r="HW25" s="3"/>
      <c r="HX25" s="3"/>
      <c r="HY25" s="3"/>
      <c r="HZ25" s="30"/>
      <c r="IA25" s="30"/>
      <c r="IB25" s="30"/>
      <c r="IC25" s="31"/>
      <c r="ID25" s="30"/>
      <c r="IE25" s="28"/>
      <c r="IF25" s="29"/>
      <c r="IG25" s="29"/>
      <c r="IH25" s="29"/>
      <c r="II25" s="29"/>
      <c r="IJ25" s="28"/>
      <c r="IK25" s="3"/>
      <c r="IL25" s="3"/>
      <c r="IM25" s="3"/>
      <c r="IN25" s="30"/>
      <c r="IO25" s="30"/>
      <c r="IP25" s="30"/>
      <c r="IQ25" s="31"/>
      <c r="IR25" s="30"/>
      <c r="IS25" s="28"/>
      <c r="IT25" s="29"/>
      <c r="IU25" s="29"/>
      <c r="IV25" s="29"/>
    </row>
    <row r="27" spans="1:256" x14ac:dyDescent="0.25">
      <c r="A27" s="39" t="s">
        <v>57</v>
      </c>
      <c r="B27" s="43">
        <f>SUM(B25:E25)</f>
        <v>814257</v>
      </c>
      <c r="E27" s="102" t="s">
        <v>47</v>
      </c>
      <c r="F27" s="103"/>
      <c r="G27" s="103"/>
      <c r="H27" s="103"/>
      <c r="I27" s="104"/>
    </row>
    <row r="28" spans="1:256" x14ac:dyDescent="0.25">
      <c r="E28" s="50"/>
      <c r="F28" s="51"/>
      <c r="G28" s="52"/>
      <c r="H28" s="52"/>
      <c r="I28" s="53"/>
    </row>
    <row r="29" spans="1:256" x14ac:dyDescent="0.25">
      <c r="A29" s="48" t="s">
        <v>61</v>
      </c>
      <c r="B29" s="43">
        <f>B15+B27</f>
        <v>1092141</v>
      </c>
      <c r="E29" s="109" t="str">
        <f>'Instructions &amp; Summary'!$A$18</f>
        <v>SAMPLE - Bidder "X"- NOT TO BE USED FOR BID SUBMITTAL</v>
      </c>
      <c r="F29" s="110"/>
      <c r="G29" s="110"/>
      <c r="H29" s="110"/>
      <c r="I29" s="111"/>
    </row>
    <row r="30" spans="1:256" x14ac:dyDescent="0.25">
      <c r="E30" s="109" t="str">
        <f>'Instructions &amp; Summary'!$A$19</f>
        <v>Bidder "X"</v>
      </c>
      <c r="F30" s="110"/>
      <c r="G30" s="110"/>
      <c r="H30" s="110"/>
      <c r="I30" s="111"/>
    </row>
    <row r="31" spans="1:256" ht="12.75" customHeight="1" x14ac:dyDescent="0.25">
      <c r="A31" s="48" t="str">
        <f>A3</f>
        <v>UI SS Tranche 1</v>
      </c>
      <c r="B31" s="21" t="s">
        <v>62</v>
      </c>
      <c r="C31" s="21" t="s">
        <v>46</v>
      </c>
      <c r="E31" s="105" t="str">
        <f>B3</f>
        <v>January 1, 2027 through June 30, 2027 - 10% of the SS TOTAL load</v>
      </c>
      <c r="F31" s="106"/>
      <c r="G31" s="106"/>
      <c r="H31" s="106"/>
      <c r="I31" s="107"/>
    </row>
    <row r="32" spans="1:256" ht="12.75" customHeight="1" x14ac:dyDescent="0.25">
      <c r="A32" s="49" t="s">
        <v>58</v>
      </c>
      <c r="B32" s="61">
        <f>N13</f>
        <v>0</v>
      </c>
      <c r="C32" s="62">
        <f>ROUND(B32/B15,2)</f>
        <v>0</v>
      </c>
    </row>
    <row r="33" spans="1:8" ht="12.75" customHeight="1" x14ac:dyDescent="0.25">
      <c r="A33" s="49" t="s">
        <v>59</v>
      </c>
      <c r="B33" s="61">
        <f>N25</f>
        <v>0</v>
      </c>
      <c r="C33" s="62">
        <f>ROUND(B33/B27,2)</f>
        <v>0</v>
      </c>
      <c r="D33" s="7"/>
    </row>
    <row r="34" spans="1:8" ht="12.75" customHeight="1" x14ac:dyDescent="0.25">
      <c r="A34" s="55" t="s">
        <v>60</v>
      </c>
      <c r="B34" s="63">
        <f>SUM(B32:B33)</f>
        <v>0</v>
      </c>
      <c r="C34" s="64">
        <f>ROUND(B34/B29,2)</f>
        <v>0</v>
      </c>
    </row>
    <row r="35" spans="1:8" ht="30" customHeight="1" x14ac:dyDescent="0.25">
      <c r="A35" s="45"/>
      <c r="B35" s="46"/>
      <c r="C35" s="47"/>
    </row>
    <row r="36" spans="1:8" x14ac:dyDescent="0.25">
      <c r="A36" s="45"/>
      <c r="B36" s="46"/>
      <c r="C36" s="47"/>
      <c r="H36" s="32"/>
    </row>
  </sheetData>
  <sheetProtection algorithmName="SHA-512" hashValue="QAKly3uRxsKp+2wFY+xYQ92E9PWMe/Fm/R4P/SYB+sYk/7XQ+HWHokU+F6Bgp66mZmZe9WetSAMhWlEBM/Lqtg==" saltValue="YPm0UGIt5u0/Z09bR2ZM6g==" spinCount="100000" sheet="1" objects="1" scenarios="1"/>
  <protectedRanges>
    <protectedRange sqref="F7:H12 F19:I24" name="Range1_1_1_1_1_1"/>
  </protectedRanges>
  <mergeCells count="13">
    <mergeCell ref="A1:N1"/>
    <mergeCell ref="E27:I27"/>
    <mergeCell ref="E31:I31"/>
    <mergeCell ref="A5:A6"/>
    <mergeCell ref="A17:A18"/>
    <mergeCell ref="J5:N5"/>
    <mergeCell ref="J17:N17"/>
    <mergeCell ref="E29:I29"/>
    <mergeCell ref="E30:I30"/>
    <mergeCell ref="B5:E5"/>
    <mergeCell ref="F5:I5"/>
    <mergeCell ref="B17:E17"/>
    <mergeCell ref="F17:I17"/>
  </mergeCells>
  <pageMargins left="0.7" right="0.7" top="0.75" bottom="0.75" header="0.3" footer="0.3"/>
  <pageSetup scale="56" fitToHeight="0" orientation="landscape" r:id="rId1"/>
  <headerFooter>
    <oddHeader xml:space="preserve">&amp;L&amp;"Arial,Bold"&amp;10The United Illuminating Company
Docket No: 26-01-02
&amp;C&amp;"Arial,Bold"&amp;10CONFIDENTIAL
&amp;A&amp;R&amp;"Arial,Bold"&amp;10UI Attachment 2a
Page 3 of 12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V36"/>
  <sheetViews>
    <sheetView view="pageLayout" zoomScale="80" zoomScaleNormal="100" zoomScalePageLayoutView="80" workbookViewId="0">
      <selection activeCell="A27" sqref="A27:F27"/>
    </sheetView>
  </sheetViews>
  <sheetFormatPr defaultRowHeight="15" x14ac:dyDescent="0.25"/>
  <cols>
    <col min="1" max="1" width="21.42578125" style="35" customWidth="1"/>
    <col min="2" max="5" width="14.28515625" customWidth="1"/>
    <col min="6" max="8" width="13.42578125" customWidth="1"/>
    <col min="9" max="9" width="12.85546875" customWidth="1"/>
    <col min="10" max="12" width="17" customWidth="1"/>
    <col min="13" max="13" width="14.28515625" customWidth="1"/>
    <col min="14" max="14" width="17.5703125" customWidth="1"/>
  </cols>
  <sheetData>
    <row r="1" spans="1:14" ht="18" x14ac:dyDescent="0.25">
      <c r="A1" s="101" t="str">
        <f>'Instructions &amp; Summary'!A1</f>
        <v>CONFIDENTIAL UNTIL 10/20/2026</v>
      </c>
      <c r="B1" s="101"/>
      <c r="C1" s="101"/>
      <c r="D1" s="101"/>
      <c r="E1" s="101"/>
      <c r="F1" s="101"/>
      <c r="G1" s="101"/>
      <c r="H1" s="101"/>
      <c r="I1" s="101"/>
      <c r="J1" s="101"/>
      <c r="K1" s="101"/>
      <c r="L1" s="101"/>
      <c r="M1" s="101"/>
      <c r="N1" s="101"/>
    </row>
    <row r="3" spans="1:14" ht="15.75" x14ac:dyDescent="0.25">
      <c r="A3" s="34" t="s">
        <v>4</v>
      </c>
      <c r="B3" s="33" t="str">
        <f>VLOOKUP($A$3,'Instructions &amp; Summary'!$A$7:$B$14,2,FALSE)</f>
        <v>January 1, 2027 through June 30, 2027 - 10% of the SS TOTAL load</v>
      </c>
      <c r="C3" s="26"/>
      <c r="D3" s="26"/>
      <c r="E3" s="26"/>
      <c r="F3" s="26"/>
      <c r="G3" s="5"/>
    </row>
    <row r="4" spans="1:14" ht="15.75" x14ac:dyDescent="0.25">
      <c r="A4" s="34"/>
      <c r="B4" s="33"/>
      <c r="C4" s="26"/>
      <c r="D4" s="26"/>
      <c r="E4" s="26"/>
      <c r="F4" s="26"/>
      <c r="G4" s="5"/>
    </row>
    <row r="5" spans="1:14" x14ac:dyDescent="0.25">
      <c r="A5" s="108" t="s">
        <v>14</v>
      </c>
      <c r="B5" s="112" t="s">
        <v>50</v>
      </c>
      <c r="C5" s="112"/>
      <c r="D5" s="112"/>
      <c r="E5" s="112"/>
      <c r="F5" s="112" t="s">
        <v>51</v>
      </c>
      <c r="G5" s="112"/>
      <c r="H5" s="112"/>
      <c r="I5" s="112"/>
      <c r="J5" s="98" t="s">
        <v>52</v>
      </c>
      <c r="K5" s="99"/>
      <c r="L5" s="99"/>
      <c r="M5" s="99"/>
      <c r="N5" s="100"/>
    </row>
    <row r="6" spans="1:14" s="27" customFormat="1" ht="12.75" x14ac:dyDescent="0.2">
      <c r="A6" s="108"/>
      <c r="B6" s="38" t="s">
        <v>41</v>
      </c>
      <c r="C6" s="38" t="s">
        <v>42</v>
      </c>
      <c r="D6" s="38" t="s">
        <v>15</v>
      </c>
      <c r="E6" s="38" t="s">
        <v>43</v>
      </c>
      <c r="F6" s="38" t="s">
        <v>41</v>
      </c>
      <c r="G6" s="38" t="s">
        <v>42</v>
      </c>
      <c r="H6" s="38" t="s">
        <v>15</v>
      </c>
      <c r="I6" s="38" t="s">
        <v>43</v>
      </c>
      <c r="J6" s="38" t="s">
        <v>41</v>
      </c>
      <c r="K6" s="38" t="s">
        <v>42</v>
      </c>
      <c r="L6" s="38" t="s">
        <v>15</v>
      </c>
      <c r="M6" s="38" t="s">
        <v>43</v>
      </c>
      <c r="N6" s="44" t="s">
        <v>9</v>
      </c>
    </row>
    <row r="7" spans="1:14" s="27" customFormat="1" ht="12.75" x14ac:dyDescent="0.2">
      <c r="A7" s="36" t="str">
        <f>IF('Instructions &amp; Summary'!$E$3="1H","January","July")</f>
        <v>January</v>
      </c>
      <c r="B7" s="41">
        <f>VLOOKUP($A7,'Bidding Load'!$A$5:$E$16,MATCH(B$6,'Bidding Load'!$A$4:$E$4,0),FALSE)</f>
        <v>12910</v>
      </c>
      <c r="C7" s="41">
        <f>VLOOKUP($A7,'Bidding Load'!$A$5:$E$16,MATCH(C$6,'Bidding Load'!$A$4:$E$4,0),FALSE)</f>
        <v>1704</v>
      </c>
      <c r="D7" s="41">
        <f>VLOOKUP($A7,'Bidding Load'!$A$5:$E$16,MATCH(D$6,'Bidding Load'!$A$4:$E$4,0),FALSE)</f>
        <v>45302</v>
      </c>
      <c r="E7" s="41">
        <f>VLOOKUP($A7,'Bidding Load'!$A$5:$E$16,MATCH(E$6,'Bidding Load'!$A$4:$E$4,0),FALSE)</f>
        <v>0</v>
      </c>
      <c r="F7" s="54"/>
      <c r="G7" s="54"/>
      <c r="H7" s="54"/>
      <c r="I7" s="59" t="s">
        <v>44</v>
      </c>
      <c r="J7" s="56">
        <f t="shared" ref="J7:J12" si="0">ROUND(F7,2)*B7</f>
        <v>0</v>
      </c>
      <c r="K7" s="56">
        <f t="shared" ref="K7:L12" si="1">ROUND(G7,2)*C7</f>
        <v>0</v>
      </c>
      <c r="L7" s="56">
        <f t="shared" si="1"/>
        <v>0</v>
      </c>
      <c r="M7" s="40" t="s">
        <v>44</v>
      </c>
      <c r="N7" s="56">
        <f t="shared" ref="N7:N12" si="2">SUM(J7:L7)</f>
        <v>0</v>
      </c>
    </row>
    <row r="8" spans="1:14" s="27" customFormat="1" ht="12.75" x14ac:dyDescent="0.2">
      <c r="A8" s="36" t="str">
        <f>IF('Instructions &amp; Summary'!$E$3="1H","February","August")</f>
        <v>February</v>
      </c>
      <c r="B8" s="41">
        <f>VLOOKUP($A8,'Bidding Load'!$A$5:$E$16,MATCH(B$6,'Bidding Load'!$A$4:$E$4,0),FALSE)</f>
        <v>11351</v>
      </c>
      <c r="C8" s="41">
        <f>VLOOKUP($A8,'Bidding Load'!$A$5:$E$16,MATCH(C$6,'Bidding Load'!$A$4:$E$4,0),FALSE)</f>
        <v>1853</v>
      </c>
      <c r="D8" s="41">
        <f>VLOOKUP($A8,'Bidding Load'!$A$5:$E$16,MATCH(D$6,'Bidding Load'!$A$4:$E$4,0),FALSE)</f>
        <v>36807</v>
      </c>
      <c r="E8" s="41">
        <f>VLOOKUP($A8,'Bidding Load'!$A$5:$E$16,MATCH(E$6,'Bidding Load'!$A$4:$E$4,0),FALSE)</f>
        <v>0</v>
      </c>
      <c r="F8" s="54"/>
      <c r="G8" s="54"/>
      <c r="H8" s="54"/>
      <c r="I8" s="59" t="s">
        <v>44</v>
      </c>
      <c r="J8" s="56">
        <f t="shared" si="0"/>
        <v>0</v>
      </c>
      <c r="K8" s="56">
        <f t="shared" si="1"/>
        <v>0</v>
      </c>
      <c r="L8" s="56">
        <f t="shared" si="1"/>
        <v>0</v>
      </c>
      <c r="M8" s="40" t="s">
        <v>44</v>
      </c>
      <c r="N8" s="56">
        <f t="shared" si="2"/>
        <v>0</v>
      </c>
    </row>
    <row r="9" spans="1:14" s="27" customFormat="1" ht="12.75" x14ac:dyDescent="0.2">
      <c r="A9" s="36" t="str">
        <f>IF('Instructions &amp; Summary'!$E$3="1H","March","September")</f>
        <v>March</v>
      </c>
      <c r="B9" s="41">
        <f>VLOOKUP($A9,'Bidding Load'!$A$5:$E$16,MATCH(B$6,'Bidding Load'!$A$4:$E$4,0),FALSE)</f>
        <v>10474</v>
      </c>
      <c r="C9" s="41">
        <f>VLOOKUP($A9,'Bidding Load'!$A$5:$E$16,MATCH(C$6,'Bidding Load'!$A$4:$E$4,0),FALSE)</f>
        <v>1618</v>
      </c>
      <c r="D9" s="41">
        <f>VLOOKUP($A9,'Bidding Load'!$A$5:$E$16,MATCH(D$6,'Bidding Load'!$A$4:$E$4,0),FALSE)</f>
        <v>27827</v>
      </c>
      <c r="E9" s="41">
        <f>VLOOKUP($A9,'Bidding Load'!$A$5:$E$16,MATCH(E$6,'Bidding Load'!$A$4:$E$4,0),FALSE)</f>
        <v>0</v>
      </c>
      <c r="F9" s="54"/>
      <c r="G9" s="54"/>
      <c r="H9" s="54"/>
      <c r="I9" s="59" t="s">
        <v>44</v>
      </c>
      <c r="J9" s="56">
        <f t="shared" si="0"/>
        <v>0</v>
      </c>
      <c r="K9" s="56">
        <f t="shared" si="1"/>
        <v>0</v>
      </c>
      <c r="L9" s="56">
        <f t="shared" si="1"/>
        <v>0</v>
      </c>
      <c r="M9" s="40" t="s">
        <v>44</v>
      </c>
      <c r="N9" s="56">
        <f t="shared" si="2"/>
        <v>0</v>
      </c>
    </row>
    <row r="10" spans="1:14" s="27" customFormat="1" ht="12.75" x14ac:dyDescent="0.2">
      <c r="A10" s="36" t="str">
        <f>IF('Instructions &amp; Summary'!$E$3="1H","April","October")</f>
        <v>April</v>
      </c>
      <c r="B10" s="41">
        <f>VLOOKUP($A10,'Bidding Load'!$A$5:$E$16,MATCH(B$6,'Bidding Load'!$A$4:$E$4,0),FALSE)</f>
        <v>10208</v>
      </c>
      <c r="C10" s="41">
        <f>VLOOKUP($A10,'Bidding Load'!$A$5:$E$16,MATCH(C$6,'Bidding Load'!$A$4:$E$4,0),FALSE)</f>
        <v>1624</v>
      </c>
      <c r="D10" s="41">
        <f>VLOOKUP($A10,'Bidding Load'!$A$5:$E$16,MATCH(D$6,'Bidding Load'!$A$4:$E$4,0),FALSE)</f>
        <v>26207</v>
      </c>
      <c r="E10" s="41">
        <f>VLOOKUP($A10,'Bidding Load'!$A$5:$E$16,MATCH(E$6,'Bidding Load'!$A$4:$E$4,0),FALSE)</f>
        <v>0</v>
      </c>
      <c r="F10" s="54"/>
      <c r="G10" s="54"/>
      <c r="H10" s="54"/>
      <c r="I10" s="59" t="s">
        <v>44</v>
      </c>
      <c r="J10" s="56">
        <f t="shared" si="0"/>
        <v>0</v>
      </c>
      <c r="K10" s="56">
        <f t="shared" si="1"/>
        <v>0</v>
      </c>
      <c r="L10" s="56">
        <f t="shared" si="1"/>
        <v>0</v>
      </c>
      <c r="M10" s="40" t="s">
        <v>44</v>
      </c>
      <c r="N10" s="56">
        <f t="shared" si="2"/>
        <v>0</v>
      </c>
    </row>
    <row r="11" spans="1:14" s="27" customFormat="1" ht="12.75" x14ac:dyDescent="0.2">
      <c r="A11" s="36" t="str">
        <f>IF('Instructions &amp; Summary'!$E$3="1H","May","November")</f>
        <v>May</v>
      </c>
      <c r="B11" s="41">
        <f>VLOOKUP($A11,'Bidding Load'!$A$5:$E$16,MATCH(B$6,'Bidding Load'!$A$4:$E$4,0),FALSE)</f>
        <v>10432</v>
      </c>
      <c r="C11" s="41">
        <f>VLOOKUP($A11,'Bidding Load'!$A$5:$E$16,MATCH(C$6,'Bidding Load'!$A$4:$E$4,0),FALSE)</f>
        <v>1787</v>
      </c>
      <c r="D11" s="41">
        <f>VLOOKUP($A11,'Bidding Load'!$A$5:$E$16,MATCH(D$6,'Bidding Load'!$A$4:$E$4,0),FALSE)</f>
        <v>25041</v>
      </c>
      <c r="E11" s="41">
        <f>VLOOKUP($A11,'Bidding Load'!$A$5:$E$16,MATCH(E$6,'Bidding Load'!$A$4:$E$4,0),FALSE)</f>
        <v>0</v>
      </c>
      <c r="F11" s="54"/>
      <c r="G11" s="54"/>
      <c r="H11" s="54"/>
      <c r="I11" s="59" t="s">
        <v>44</v>
      </c>
      <c r="J11" s="56">
        <f t="shared" si="0"/>
        <v>0</v>
      </c>
      <c r="K11" s="56">
        <f t="shared" si="1"/>
        <v>0</v>
      </c>
      <c r="L11" s="56">
        <f t="shared" si="1"/>
        <v>0</v>
      </c>
      <c r="M11" s="40" t="s">
        <v>44</v>
      </c>
      <c r="N11" s="56">
        <f t="shared" si="2"/>
        <v>0</v>
      </c>
    </row>
    <row r="12" spans="1:14" s="27" customFormat="1" ht="12.75" x14ac:dyDescent="0.2">
      <c r="A12" s="36" t="str">
        <f>IF('Instructions &amp; Summary'!$E$3="1H","June","December")</f>
        <v>June</v>
      </c>
      <c r="B12" s="41">
        <f>VLOOKUP($A12,'Bidding Load'!$A$5:$E$16,MATCH(B$6,'Bidding Load'!$A$4:$E$4,0),FALSE)</f>
        <v>13255</v>
      </c>
      <c r="C12" s="41">
        <f>VLOOKUP($A12,'Bidding Load'!$A$5:$E$16,MATCH(C$6,'Bidding Load'!$A$4:$E$4,0),FALSE)</f>
        <v>1852</v>
      </c>
      <c r="D12" s="41">
        <f>VLOOKUP($A12,'Bidding Load'!$A$5:$E$16,MATCH(D$6,'Bidding Load'!$A$4:$E$4,0),FALSE)</f>
        <v>37632</v>
      </c>
      <c r="E12" s="41">
        <f>VLOOKUP($A12,'Bidding Load'!$A$5:$E$16,MATCH(E$6,'Bidding Load'!$A$4:$E$4,0),FALSE)</f>
        <v>0</v>
      </c>
      <c r="F12" s="54"/>
      <c r="G12" s="54"/>
      <c r="H12" s="54"/>
      <c r="I12" s="59" t="s">
        <v>44</v>
      </c>
      <c r="J12" s="56">
        <f t="shared" si="0"/>
        <v>0</v>
      </c>
      <c r="K12" s="56">
        <f t="shared" si="1"/>
        <v>0</v>
      </c>
      <c r="L12" s="56">
        <f t="shared" si="1"/>
        <v>0</v>
      </c>
      <c r="M12" s="40" t="s">
        <v>44</v>
      </c>
      <c r="N12" s="56">
        <f t="shared" si="2"/>
        <v>0</v>
      </c>
    </row>
    <row r="13" spans="1:14" x14ac:dyDescent="0.25">
      <c r="A13" s="39" t="s">
        <v>45</v>
      </c>
      <c r="B13" s="42">
        <f>SUM(B7:B12)</f>
        <v>68630</v>
      </c>
      <c r="C13" s="42">
        <f>SUM(C7:C12)</f>
        <v>10438</v>
      </c>
      <c r="D13" s="42">
        <f>SUM(D7:D12)</f>
        <v>198816</v>
      </c>
      <c r="E13" s="42">
        <f>SUM(E7:E12)</f>
        <v>0</v>
      </c>
      <c r="F13" s="37" t="s">
        <v>44</v>
      </c>
      <c r="G13" s="37" t="s">
        <v>44</v>
      </c>
      <c r="H13" s="37" t="s">
        <v>44</v>
      </c>
      <c r="I13" s="37" t="s">
        <v>44</v>
      </c>
      <c r="J13" s="58">
        <f>SUM(J7:J12)</f>
        <v>0</v>
      </c>
      <c r="K13" s="58">
        <f>SUM(K7:K12)</f>
        <v>0</v>
      </c>
      <c r="L13" s="58">
        <f>SUM(L7:L12)</f>
        <v>0</v>
      </c>
      <c r="M13" s="37" t="s">
        <v>44</v>
      </c>
      <c r="N13" s="58">
        <f>SUM(N7:N12)</f>
        <v>0</v>
      </c>
    </row>
    <row r="15" spans="1:14" x14ac:dyDescent="0.25">
      <c r="A15" s="39" t="s">
        <v>56</v>
      </c>
      <c r="B15" s="43">
        <f>SUM(B13:E13)</f>
        <v>277884</v>
      </c>
    </row>
    <row r="16" spans="1:14" x14ac:dyDescent="0.25">
      <c r="G16" s="5"/>
    </row>
    <row r="17" spans="1:256" x14ac:dyDescent="0.25">
      <c r="A17" s="108" t="s">
        <v>14</v>
      </c>
      <c r="B17" s="112" t="s">
        <v>53</v>
      </c>
      <c r="C17" s="112"/>
      <c r="D17" s="112"/>
      <c r="E17" s="112"/>
      <c r="F17" s="112" t="s">
        <v>54</v>
      </c>
      <c r="G17" s="112"/>
      <c r="H17" s="112"/>
      <c r="I17" s="112"/>
      <c r="J17" s="98" t="s">
        <v>55</v>
      </c>
      <c r="K17" s="99"/>
      <c r="L17" s="99"/>
      <c r="M17" s="99"/>
      <c r="N17" s="100"/>
    </row>
    <row r="18" spans="1:256" s="27" customFormat="1" ht="12.75" x14ac:dyDescent="0.2">
      <c r="A18" s="108"/>
      <c r="B18" s="38" t="s">
        <v>41</v>
      </c>
      <c r="C18" s="38" t="s">
        <v>42</v>
      </c>
      <c r="D18" s="38" t="s">
        <v>15</v>
      </c>
      <c r="E18" s="38" t="s">
        <v>43</v>
      </c>
      <c r="F18" s="38" t="s">
        <v>41</v>
      </c>
      <c r="G18" s="38" t="s">
        <v>42</v>
      </c>
      <c r="H18" s="38" t="s">
        <v>15</v>
      </c>
      <c r="I18" s="38" t="s">
        <v>43</v>
      </c>
      <c r="J18" s="38" t="s">
        <v>41</v>
      </c>
      <c r="K18" s="38" t="s">
        <v>42</v>
      </c>
      <c r="L18" s="38" t="s">
        <v>15</v>
      </c>
      <c r="M18" s="38" t="s">
        <v>43</v>
      </c>
      <c r="N18" s="44" t="s">
        <v>9</v>
      </c>
    </row>
    <row r="19" spans="1:256" s="27" customFormat="1" ht="12.75" x14ac:dyDescent="0.2">
      <c r="A19" s="36" t="str">
        <f>IF('Instructions &amp; Summary'!$E$3="1H","January","July")</f>
        <v>January</v>
      </c>
      <c r="B19" s="41">
        <f>VLOOKUP($A19,'Bidding Load'!$A$21:$E$32,MATCH(B$18,'Bidding Load'!$A$20:$E$20,0),FALSE)</f>
        <v>31535</v>
      </c>
      <c r="C19" s="41">
        <f>VLOOKUP($A19,'Bidding Load'!$A$21:$E$32,MATCH(C$18,'Bidding Load'!$A$20:$E$20,0),FALSE)</f>
        <v>5311</v>
      </c>
      <c r="D19" s="41">
        <f>VLOOKUP($A19,'Bidding Load'!$A$21:$E$32,MATCH(D$18,'Bidding Load'!$A$20:$E$20,0),FALSE)</f>
        <v>134881</v>
      </c>
      <c r="E19" s="41">
        <f>VLOOKUP($A19,'Bidding Load'!$A$21:$E$32,MATCH(E$18,'Bidding Load'!$A$20:$E$20,0),FALSE)</f>
        <v>741</v>
      </c>
      <c r="F19" s="54"/>
      <c r="G19" s="54"/>
      <c r="H19" s="54"/>
      <c r="I19" s="54"/>
      <c r="J19" s="56">
        <f t="shared" ref="J19:J24" si="3">ROUND(F19,2)*B19</f>
        <v>0</v>
      </c>
      <c r="K19" s="56">
        <f t="shared" ref="K19:M24" si="4">ROUND(G19,2)*C19</f>
        <v>0</v>
      </c>
      <c r="L19" s="56">
        <f t="shared" si="4"/>
        <v>0</v>
      </c>
      <c r="M19" s="56">
        <f t="shared" si="4"/>
        <v>0</v>
      </c>
      <c r="N19" s="56">
        <f t="shared" ref="N19:N24" si="5">SUM(J19:M19)</f>
        <v>0</v>
      </c>
    </row>
    <row r="20" spans="1:256" s="27" customFormat="1" ht="12.75" x14ac:dyDescent="0.2">
      <c r="A20" s="36" t="str">
        <f>IF('Instructions &amp; Summary'!$E$3="1H","February","August")</f>
        <v>February</v>
      </c>
      <c r="B20" s="41">
        <f>VLOOKUP($A20,'Bidding Load'!$A$21:$E$32,MATCH(B$18,'Bidding Load'!$A$20:$E$20,0),FALSE)</f>
        <v>28300</v>
      </c>
      <c r="C20" s="41">
        <f>VLOOKUP($A20,'Bidding Load'!$A$21:$E$32,MATCH(C$18,'Bidding Load'!$A$20:$E$20,0),FALSE)</f>
        <v>5425</v>
      </c>
      <c r="D20" s="41">
        <f>VLOOKUP($A20,'Bidding Load'!$A$21:$E$32,MATCH(D$18,'Bidding Load'!$A$20:$E$20,0),FALSE)</f>
        <v>117905</v>
      </c>
      <c r="E20" s="41">
        <f>VLOOKUP($A20,'Bidding Load'!$A$21:$E$32,MATCH(E$18,'Bidding Load'!$A$20:$E$20,0),FALSE)</f>
        <v>741</v>
      </c>
      <c r="F20" s="54"/>
      <c r="G20" s="54"/>
      <c r="H20" s="54"/>
      <c r="I20" s="54"/>
      <c r="J20" s="56">
        <f t="shared" si="3"/>
        <v>0</v>
      </c>
      <c r="K20" s="56">
        <f t="shared" si="4"/>
        <v>0</v>
      </c>
      <c r="L20" s="56">
        <f t="shared" si="4"/>
        <v>0</v>
      </c>
      <c r="M20" s="56">
        <f t="shared" si="4"/>
        <v>0</v>
      </c>
      <c r="N20" s="56">
        <f t="shared" si="5"/>
        <v>0</v>
      </c>
    </row>
    <row r="21" spans="1:256" s="27" customFormat="1" ht="12.75" x14ac:dyDescent="0.2">
      <c r="A21" s="36" t="str">
        <f>IF('Instructions &amp; Summary'!$E$3="1H","March","September")</f>
        <v>March</v>
      </c>
      <c r="B21" s="41">
        <f>VLOOKUP($A21,'Bidding Load'!$A$21:$E$32,MATCH(B$18,'Bidding Load'!$A$20:$E$20,0),FALSE)</f>
        <v>26204</v>
      </c>
      <c r="C21" s="41">
        <f>VLOOKUP($A21,'Bidding Load'!$A$21:$E$32,MATCH(C$18,'Bidding Load'!$A$20:$E$20,0),FALSE)</f>
        <v>4787</v>
      </c>
      <c r="D21" s="41">
        <f>VLOOKUP($A21,'Bidding Load'!$A$21:$E$32,MATCH(D$18,'Bidding Load'!$A$20:$E$20,0),FALSE)</f>
        <v>96196</v>
      </c>
      <c r="E21" s="41">
        <f>VLOOKUP($A21,'Bidding Load'!$A$21:$E$32,MATCH(E$18,'Bidding Load'!$A$20:$E$20,0),FALSE)</f>
        <v>544</v>
      </c>
      <c r="F21" s="54"/>
      <c r="G21" s="54"/>
      <c r="H21" s="54"/>
      <c r="I21" s="54"/>
      <c r="J21" s="56">
        <f t="shared" si="3"/>
        <v>0</v>
      </c>
      <c r="K21" s="56">
        <f t="shared" si="4"/>
        <v>0</v>
      </c>
      <c r="L21" s="56">
        <f t="shared" si="4"/>
        <v>0</v>
      </c>
      <c r="M21" s="56">
        <f t="shared" si="4"/>
        <v>0</v>
      </c>
      <c r="N21" s="56">
        <f t="shared" si="5"/>
        <v>0</v>
      </c>
    </row>
    <row r="22" spans="1:256" s="27" customFormat="1" ht="12.75" x14ac:dyDescent="0.2">
      <c r="A22" s="36" t="str">
        <f>IF('Instructions &amp; Summary'!$E$3="1H","April","October")</f>
        <v>April</v>
      </c>
      <c r="B22" s="41">
        <f>VLOOKUP($A22,'Bidding Load'!$A$21:$E$32,MATCH(B$18,'Bidding Load'!$A$20:$E$20,0),FALSE)</f>
        <v>24551</v>
      </c>
      <c r="C22" s="41">
        <f>VLOOKUP($A22,'Bidding Load'!$A$21:$E$32,MATCH(C$18,'Bidding Load'!$A$20:$E$20,0),FALSE)</f>
        <v>5326</v>
      </c>
      <c r="D22" s="41">
        <f>VLOOKUP($A22,'Bidding Load'!$A$21:$E$32,MATCH(D$18,'Bidding Load'!$A$20:$E$20,0),FALSE)</f>
        <v>85641</v>
      </c>
      <c r="E22" s="41">
        <f>VLOOKUP($A22,'Bidding Load'!$A$21:$E$32,MATCH(E$18,'Bidding Load'!$A$20:$E$20,0),FALSE)</f>
        <v>501</v>
      </c>
      <c r="F22" s="54"/>
      <c r="G22" s="54"/>
      <c r="H22" s="54"/>
      <c r="I22" s="54"/>
      <c r="J22" s="56">
        <f t="shared" si="3"/>
        <v>0</v>
      </c>
      <c r="K22" s="56">
        <f t="shared" si="4"/>
        <v>0</v>
      </c>
      <c r="L22" s="56">
        <f t="shared" si="4"/>
        <v>0</v>
      </c>
      <c r="M22" s="56">
        <f t="shared" si="4"/>
        <v>0</v>
      </c>
      <c r="N22" s="56">
        <f t="shared" si="5"/>
        <v>0</v>
      </c>
    </row>
    <row r="23" spans="1:256" s="27" customFormat="1" ht="12.75" x14ac:dyDescent="0.2">
      <c r="A23" s="36" t="str">
        <f>IF('Instructions &amp; Summary'!$E$3="1H","May","November")</f>
        <v>May</v>
      </c>
      <c r="B23" s="41">
        <f>VLOOKUP($A23,'Bidding Load'!$A$21:$E$32,MATCH(B$18,'Bidding Load'!$A$20:$E$20,0),FALSE)</f>
        <v>24769</v>
      </c>
      <c r="C23" s="41">
        <f>VLOOKUP($A23,'Bidding Load'!$A$21:$E$32,MATCH(C$18,'Bidding Load'!$A$20:$E$20,0),FALSE)</f>
        <v>5647</v>
      </c>
      <c r="D23" s="41">
        <f>VLOOKUP($A23,'Bidding Load'!$A$21:$E$32,MATCH(D$18,'Bidding Load'!$A$20:$E$20,0),FALSE)</f>
        <v>79724</v>
      </c>
      <c r="E23" s="41">
        <f>VLOOKUP($A23,'Bidding Load'!$A$21:$E$32,MATCH(E$18,'Bidding Load'!$A$20:$E$20,0),FALSE)</f>
        <v>490</v>
      </c>
      <c r="F23" s="54"/>
      <c r="G23" s="54"/>
      <c r="H23" s="54"/>
      <c r="I23" s="54"/>
      <c r="J23" s="56">
        <f t="shared" si="3"/>
        <v>0</v>
      </c>
      <c r="K23" s="56">
        <f t="shared" si="4"/>
        <v>0</v>
      </c>
      <c r="L23" s="56">
        <f t="shared" si="4"/>
        <v>0</v>
      </c>
      <c r="M23" s="56">
        <f t="shared" si="4"/>
        <v>0</v>
      </c>
      <c r="N23" s="56">
        <f t="shared" si="5"/>
        <v>0</v>
      </c>
    </row>
    <row r="24" spans="1:256" s="27" customFormat="1" ht="12.75" x14ac:dyDescent="0.2">
      <c r="A24" s="36" t="str">
        <f>IF('Instructions &amp; Summary'!$E$3="1H","June","December")</f>
        <v>June</v>
      </c>
      <c r="B24" s="41">
        <f>VLOOKUP($A24,'Bidding Load'!$A$21:$E$32,MATCH(B$18,'Bidding Load'!$A$20:$E$20,0),FALSE)</f>
        <v>27540</v>
      </c>
      <c r="C24" s="41">
        <f>VLOOKUP($A24,'Bidding Load'!$A$21:$E$32,MATCH(C$18,'Bidding Load'!$A$20:$E$20,0),FALSE)</f>
        <v>5530</v>
      </c>
      <c r="D24" s="41">
        <f>VLOOKUP($A24,'Bidding Load'!$A$21:$E$32,MATCH(D$18,'Bidding Load'!$A$20:$E$20,0),FALSE)</f>
        <v>101553</v>
      </c>
      <c r="E24" s="41">
        <f>VLOOKUP($A24,'Bidding Load'!$A$21:$E$32,MATCH(E$18,'Bidding Load'!$A$20:$E$20,0),FALSE)</f>
        <v>415</v>
      </c>
      <c r="F24" s="54"/>
      <c r="G24" s="54"/>
      <c r="H24" s="54"/>
      <c r="I24" s="54"/>
      <c r="J24" s="56">
        <f t="shared" si="3"/>
        <v>0</v>
      </c>
      <c r="K24" s="56">
        <f t="shared" si="4"/>
        <v>0</v>
      </c>
      <c r="L24" s="56">
        <f t="shared" si="4"/>
        <v>0</v>
      </c>
      <c r="M24" s="56">
        <f t="shared" si="4"/>
        <v>0</v>
      </c>
      <c r="N24" s="56">
        <f t="shared" si="5"/>
        <v>0</v>
      </c>
    </row>
    <row r="25" spans="1:256" x14ac:dyDescent="0.25">
      <c r="A25" s="39" t="s">
        <v>45</v>
      </c>
      <c r="B25" s="42">
        <f>SUM(B19:B24)</f>
        <v>162899</v>
      </c>
      <c r="C25" s="42">
        <f>SUM(C19:C24)</f>
        <v>32026</v>
      </c>
      <c r="D25" s="42">
        <f>SUM(D19:D24)</f>
        <v>615900</v>
      </c>
      <c r="E25" s="42">
        <f>SUM(E19:E24)</f>
        <v>3432</v>
      </c>
      <c r="F25" s="37" t="s">
        <v>44</v>
      </c>
      <c r="G25" s="37" t="s">
        <v>44</v>
      </c>
      <c r="H25" s="37" t="s">
        <v>44</v>
      </c>
      <c r="I25" s="37" t="s">
        <v>44</v>
      </c>
      <c r="J25" s="58">
        <f>SUM(J19:J24)</f>
        <v>0</v>
      </c>
      <c r="K25" s="58">
        <f>SUM(K19:K24)</f>
        <v>0</v>
      </c>
      <c r="L25" s="58">
        <f>SUM(L19:L24)</f>
        <v>0</v>
      </c>
      <c r="M25" s="58">
        <f>SUM(M19:M24)</f>
        <v>0</v>
      </c>
      <c r="N25" s="58">
        <f>SUM(N19:N24)</f>
        <v>0</v>
      </c>
      <c r="O25" s="28"/>
      <c r="P25" s="29"/>
      <c r="Q25" s="29"/>
      <c r="R25" s="29"/>
      <c r="S25" s="29"/>
      <c r="T25" s="28"/>
      <c r="U25" s="3"/>
      <c r="V25" s="3"/>
      <c r="W25" s="3"/>
      <c r="X25" s="30"/>
      <c r="Y25" s="30"/>
      <c r="Z25" s="30"/>
      <c r="AA25" s="31"/>
      <c r="AB25" s="30"/>
      <c r="AC25" s="28"/>
      <c r="AD25" s="29"/>
      <c r="AE25" s="29"/>
      <c r="AF25" s="29"/>
      <c r="AG25" s="29"/>
      <c r="AH25" s="28"/>
      <c r="AI25" s="3"/>
      <c r="AJ25" s="3"/>
      <c r="AK25" s="3"/>
      <c r="AL25" s="30"/>
      <c r="AM25" s="30"/>
      <c r="AN25" s="30"/>
      <c r="AO25" s="31"/>
      <c r="AP25" s="30"/>
      <c r="AQ25" s="28"/>
      <c r="AR25" s="29"/>
      <c r="AS25" s="29"/>
      <c r="AT25" s="29"/>
      <c r="AU25" s="29"/>
      <c r="AV25" s="28"/>
      <c r="AW25" s="3"/>
      <c r="AX25" s="3"/>
      <c r="AY25" s="3"/>
      <c r="AZ25" s="30"/>
      <c r="BA25" s="30"/>
      <c r="BB25" s="30"/>
      <c r="BC25" s="31"/>
      <c r="BD25" s="30"/>
      <c r="BE25" s="28"/>
      <c r="BF25" s="29"/>
      <c r="BG25" s="29"/>
      <c r="BH25" s="29"/>
      <c r="BI25" s="29"/>
      <c r="BJ25" s="28"/>
      <c r="BK25" s="3"/>
      <c r="BL25" s="3"/>
      <c r="BM25" s="3"/>
      <c r="BN25" s="30"/>
      <c r="BO25" s="30"/>
      <c r="BP25" s="30"/>
      <c r="BQ25" s="31"/>
      <c r="BR25" s="30"/>
      <c r="BS25" s="28"/>
      <c r="BT25" s="29"/>
      <c r="BU25" s="29"/>
      <c r="BV25" s="29"/>
      <c r="BW25" s="29"/>
      <c r="BX25" s="28"/>
      <c r="BY25" s="3"/>
      <c r="BZ25" s="3"/>
      <c r="CA25" s="3"/>
      <c r="CB25" s="30"/>
      <c r="CC25" s="30"/>
      <c r="CD25" s="30"/>
      <c r="CE25" s="31"/>
      <c r="CF25" s="30"/>
      <c r="CG25" s="28"/>
      <c r="CH25" s="29"/>
      <c r="CI25" s="29"/>
      <c r="CJ25" s="29"/>
      <c r="CK25" s="29"/>
      <c r="CL25" s="28"/>
      <c r="CM25" s="3"/>
      <c r="CN25" s="3"/>
      <c r="CO25" s="3"/>
      <c r="CP25" s="30"/>
      <c r="CQ25" s="30"/>
      <c r="CR25" s="30"/>
      <c r="CS25" s="31"/>
      <c r="CT25" s="30"/>
      <c r="CU25" s="28"/>
      <c r="CV25" s="29"/>
      <c r="CW25" s="29"/>
      <c r="CX25" s="29"/>
      <c r="CY25" s="29"/>
      <c r="CZ25" s="28"/>
      <c r="DA25" s="3"/>
      <c r="DB25" s="3"/>
      <c r="DC25" s="3"/>
      <c r="DD25" s="30"/>
      <c r="DE25" s="30"/>
      <c r="DF25" s="30"/>
      <c r="DG25" s="31"/>
      <c r="DH25" s="30"/>
      <c r="DI25" s="28"/>
      <c r="DJ25" s="29"/>
      <c r="DK25" s="29"/>
      <c r="DL25" s="29"/>
      <c r="DM25" s="29"/>
      <c r="DN25" s="28"/>
      <c r="DO25" s="3"/>
      <c r="DP25" s="3"/>
      <c r="DQ25" s="3"/>
      <c r="DR25" s="30"/>
      <c r="DS25" s="30"/>
      <c r="DT25" s="30"/>
      <c r="DU25" s="31"/>
      <c r="DV25" s="30"/>
      <c r="DW25" s="28"/>
      <c r="DX25" s="29"/>
      <c r="DY25" s="29"/>
      <c r="DZ25" s="29"/>
      <c r="EA25" s="29"/>
      <c r="EB25" s="28"/>
      <c r="EC25" s="3"/>
      <c r="ED25" s="3"/>
      <c r="EE25" s="3"/>
      <c r="EF25" s="30"/>
      <c r="EG25" s="30"/>
      <c r="EH25" s="30"/>
      <c r="EI25" s="31"/>
      <c r="EJ25" s="30"/>
      <c r="EK25" s="28"/>
      <c r="EL25" s="29"/>
      <c r="EM25" s="29"/>
      <c r="EN25" s="29"/>
      <c r="EO25" s="29"/>
      <c r="EP25" s="28"/>
      <c r="EQ25" s="3"/>
      <c r="ER25" s="3"/>
      <c r="ES25" s="3"/>
      <c r="ET25" s="30"/>
      <c r="EU25" s="30"/>
      <c r="EV25" s="30"/>
      <c r="EW25" s="31"/>
      <c r="EX25" s="30"/>
      <c r="EY25" s="28"/>
      <c r="EZ25" s="29"/>
      <c r="FA25" s="29"/>
      <c r="FB25" s="29"/>
      <c r="FC25" s="29"/>
      <c r="FD25" s="28"/>
      <c r="FE25" s="3"/>
      <c r="FF25" s="3"/>
      <c r="FG25" s="3"/>
      <c r="FH25" s="30"/>
      <c r="FI25" s="30"/>
      <c r="FJ25" s="30"/>
      <c r="FK25" s="31"/>
      <c r="FL25" s="30"/>
      <c r="FM25" s="28"/>
      <c r="FN25" s="29"/>
      <c r="FO25" s="29"/>
      <c r="FP25" s="29"/>
      <c r="FQ25" s="29"/>
      <c r="FR25" s="28"/>
      <c r="FS25" s="3"/>
      <c r="FT25" s="3"/>
      <c r="FU25" s="3"/>
      <c r="FV25" s="30"/>
      <c r="FW25" s="30"/>
      <c r="FX25" s="30"/>
      <c r="FY25" s="31"/>
      <c r="FZ25" s="30"/>
      <c r="GA25" s="28"/>
      <c r="GB25" s="29"/>
      <c r="GC25" s="29"/>
      <c r="GD25" s="29"/>
      <c r="GE25" s="29"/>
      <c r="GF25" s="28"/>
      <c r="GG25" s="3"/>
      <c r="GH25" s="3"/>
      <c r="GI25" s="3"/>
      <c r="GJ25" s="30"/>
      <c r="GK25" s="30"/>
      <c r="GL25" s="30"/>
      <c r="GM25" s="31"/>
      <c r="GN25" s="30"/>
      <c r="GO25" s="28"/>
      <c r="GP25" s="29"/>
      <c r="GQ25" s="29"/>
      <c r="GR25" s="29"/>
      <c r="GS25" s="29"/>
      <c r="GT25" s="28"/>
      <c r="GU25" s="3"/>
      <c r="GV25" s="3"/>
      <c r="GW25" s="3"/>
      <c r="GX25" s="30"/>
      <c r="GY25" s="30"/>
      <c r="GZ25" s="30"/>
      <c r="HA25" s="31"/>
      <c r="HB25" s="30"/>
      <c r="HC25" s="28"/>
      <c r="HD25" s="29"/>
      <c r="HE25" s="29"/>
      <c r="HF25" s="29"/>
      <c r="HG25" s="29"/>
      <c r="HH25" s="28"/>
      <c r="HI25" s="3"/>
      <c r="HJ25" s="3"/>
      <c r="HK25" s="3"/>
      <c r="HL25" s="30"/>
      <c r="HM25" s="30"/>
      <c r="HN25" s="30"/>
      <c r="HO25" s="31"/>
      <c r="HP25" s="30"/>
      <c r="HQ25" s="28"/>
      <c r="HR25" s="29"/>
      <c r="HS25" s="29"/>
      <c r="HT25" s="29"/>
      <c r="HU25" s="29"/>
      <c r="HV25" s="28"/>
      <c r="HW25" s="3"/>
      <c r="HX25" s="3"/>
      <c r="HY25" s="3"/>
      <c r="HZ25" s="30"/>
      <c r="IA25" s="30"/>
      <c r="IB25" s="30"/>
      <c r="IC25" s="31"/>
      <c r="ID25" s="30"/>
      <c r="IE25" s="28"/>
      <c r="IF25" s="29"/>
      <c r="IG25" s="29"/>
      <c r="IH25" s="29"/>
      <c r="II25" s="29"/>
      <c r="IJ25" s="28"/>
      <c r="IK25" s="3"/>
      <c r="IL25" s="3"/>
      <c r="IM25" s="3"/>
      <c r="IN25" s="30"/>
      <c r="IO25" s="30"/>
      <c r="IP25" s="30"/>
      <c r="IQ25" s="31"/>
      <c r="IR25" s="30"/>
      <c r="IS25" s="28"/>
      <c r="IT25" s="29"/>
      <c r="IU25" s="29"/>
      <c r="IV25" s="29"/>
    </row>
    <row r="27" spans="1:256" x14ac:dyDescent="0.25">
      <c r="A27" s="39" t="s">
        <v>57</v>
      </c>
      <c r="B27" s="43">
        <f>SUM(B25:E25)</f>
        <v>814257</v>
      </c>
      <c r="E27" s="102" t="s">
        <v>47</v>
      </c>
      <c r="F27" s="103"/>
      <c r="G27" s="103"/>
      <c r="H27" s="103"/>
      <c r="I27" s="104"/>
    </row>
    <row r="28" spans="1:256" x14ac:dyDescent="0.25">
      <c r="E28" s="50"/>
      <c r="F28" s="51"/>
      <c r="G28" s="52"/>
      <c r="H28" s="52"/>
      <c r="I28" s="53"/>
    </row>
    <row r="29" spans="1:256" x14ac:dyDescent="0.25">
      <c r="A29" s="48" t="s">
        <v>61</v>
      </c>
      <c r="B29" s="43">
        <f>B15+B27</f>
        <v>1092141</v>
      </c>
      <c r="E29" s="109" t="str">
        <f>'Instructions &amp; Summary'!$A$18</f>
        <v>SAMPLE - Bidder "X"- NOT TO BE USED FOR BID SUBMITTAL</v>
      </c>
      <c r="F29" s="110"/>
      <c r="G29" s="110"/>
      <c r="H29" s="110"/>
      <c r="I29" s="111"/>
    </row>
    <row r="30" spans="1:256" x14ac:dyDescent="0.25">
      <c r="E30" s="109" t="str">
        <f>'Instructions &amp; Summary'!$A$19</f>
        <v>Bidder "X"</v>
      </c>
      <c r="F30" s="110"/>
      <c r="G30" s="110"/>
      <c r="H30" s="110"/>
      <c r="I30" s="111"/>
    </row>
    <row r="31" spans="1:256" ht="12.75" customHeight="1" x14ac:dyDescent="0.25">
      <c r="A31" s="48" t="str">
        <f>A3</f>
        <v>UI SS Tranche 2</v>
      </c>
      <c r="B31" s="38" t="s">
        <v>62</v>
      </c>
      <c r="C31" s="38" t="s">
        <v>46</v>
      </c>
      <c r="E31" s="105" t="str">
        <f>B3</f>
        <v>January 1, 2027 through June 30, 2027 - 10% of the SS TOTAL load</v>
      </c>
      <c r="F31" s="113"/>
      <c r="G31" s="113"/>
      <c r="H31" s="113"/>
      <c r="I31" s="114"/>
    </row>
    <row r="32" spans="1:256" ht="12.75" customHeight="1" x14ac:dyDescent="0.25">
      <c r="A32" s="49" t="s">
        <v>58</v>
      </c>
      <c r="B32" s="61">
        <f>N13</f>
        <v>0</v>
      </c>
      <c r="C32" s="62">
        <f>ROUND(B32/B15,2)</f>
        <v>0</v>
      </c>
    </row>
    <row r="33" spans="1:8" ht="12.75" customHeight="1" x14ac:dyDescent="0.25">
      <c r="A33" s="49" t="s">
        <v>59</v>
      </c>
      <c r="B33" s="61">
        <f>N25</f>
        <v>0</v>
      </c>
      <c r="C33" s="62">
        <f>ROUND(B33/B27,2)</f>
        <v>0</v>
      </c>
      <c r="D33" s="7"/>
    </row>
    <row r="34" spans="1:8" ht="12.75" customHeight="1" x14ac:dyDescent="0.25">
      <c r="A34" s="55" t="s">
        <v>60</v>
      </c>
      <c r="B34" s="63">
        <f>SUM(B32:B33)</f>
        <v>0</v>
      </c>
      <c r="C34" s="64">
        <f>ROUND(B34/B29,2)</f>
        <v>0</v>
      </c>
    </row>
    <row r="35" spans="1:8" ht="30" customHeight="1" x14ac:dyDescent="0.25">
      <c r="A35" s="45"/>
      <c r="B35" s="46"/>
      <c r="C35" s="47"/>
    </row>
    <row r="36" spans="1:8" x14ac:dyDescent="0.25">
      <c r="A36" s="45"/>
      <c r="B36" s="46"/>
      <c r="C36" s="47"/>
      <c r="H36" s="32"/>
    </row>
  </sheetData>
  <sheetProtection algorithmName="SHA-512" hashValue="gF9ba74Esclo26MQK2hkoFyvzMinofNFkYtzBsci7kYHqBgPFAiiYW14NrMLGyYC8SZW9jh+s/Yo9nT1bQOZrg==" saltValue="tFlljCu5R+fP2fumDmASHg==" spinCount="100000" sheet="1" objects="1" scenarios="1"/>
  <mergeCells count="13">
    <mergeCell ref="A1:N1"/>
    <mergeCell ref="J17:N17"/>
    <mergeCell ref="E27:I27"/>
    <mergeCell ref="A5:A6"/>
    <mergeCell ref="B5:E5"/>
    <mergeCell ref="F5:I5"/>
    <mergeCell ref="J5:N5"/>
    <mergeCell ref="E29:I29"/>
    <mergeCell ref="E30:I30"/>
    <mergeCell ref="E31:I31"/>
    <mergeCell ref="A17:A18"/>
    <mergeCell ref="B17:E17"/>
    <mergeCell ref="F17:I17"/>
  </mergeCells>
  <pageMargins left="0.7" right="0.7" top="0.75" bottom="0.75" header="0.3" footer="0.3"/>
  <pageSetup scale="57" fitToHeight="0" orientation="landscape" r:id="rId1"/>
  <headerFooter>
    <oddHeader xml:space="preserve">&amp;L&amp;"Arial,Bold"&amp;10The United Illuminating Company
Docket No: 26-01-02
&amp;C&amp;"Arial,Bold"&amp;10CONFIDENTIAL
&amp;A&amp;R&amp;"Arial,Bold"&amp;10UI Attachment 2a
Page 4 of 12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V36"/>
  <sheetViews>
    <sheetView view="pageLayout" zoomScale="80" zoomScaleNormal="100" zoomScalePageLayoutView="80" workbookViewId="0">
      <selection activeCell="A27" sqref="A27:F27"/>
    </sheetView>
  </sheetViews>
  <sheetFormatPr defaultRowHeight="15" x14ac:dyDescent="0.25"/>
  <cols>
    <col min="1" max="1" width="21.42578125" style="35" customWidth="1"/>
    <col min="2" max="5" width="14.28515625" customWidth="1"/>
    <col min="6" max="8" width="13.42578125" customWidth="1"/>
    <col min="9" max="9" width="15.28515625" customWidth="1"/>
    <col min="10" max="12" width="17" customWidth="1"/>
    <col min="13" max="13" width="14.28515625" customWidth="1"/>
    <col min="14" max="14" width="17.5703125" customWidth="1"/>
  </cols>
  <sheetData>
    <row r="1" spans="1:14" ht="18" x14ac:dyDescent="0.25">
      <c r="A1" s="101" t="str">
        <f>'Instructions &amp; Summary'!A1</f>
        <v>CONFIDENTIAL UNTIL 10/20/2026</v>
      </c>
      <c r="B1" s="101"/>
      <c r="C1" s="101"/>
      <c r="D1" s="101"/>
      <c r="E1" s="101"/>
      <c r="F1" s="101"/>
      <c r="G1" s="101"/>
      <c r="H1" s="101"/>
      <c r="I1" s="101"/>
      <c r="J1" s="101"/>
      <c r="K1" s="101"/>
      <c r="L1" s="101"/>
      <c r="M1" s="101"/>
      <c r="N1" s="101"/>
    </row>
    <row r="3" spans="1:14" ht="15.75" x14ac:dyDescent="0.25">
      <c r="A3" s="34" t="s">
        <v>5</v>
      </c>
      <c r="B3" s="33" t="str">
        <f>VLOOKUP($A$3,'Instructions &amp; Summary'!$A$7:$B$14,2,FALSE)</f>
        <v>January 1, 2027 through June 30, 2027 - 10% of the SS TOTAL load</v>
      </c>
      <c r="C3" s="26"/>
      <c r="D3" s="26"/>
      <c r="E3" s="26"/>
      <c r="F3" s="26"/>
      <c r="G3" s="5"/>
    </row>
    <row r="4" spans="1:14" ht="15.75" x14ac:dyDescent="0.25">
      <c r="A4" s="34"/>
      <c r="B4" s="33"/>
      <c r="C4" s="26"/>
      <c r="D4" s="26"/>
      <c r="E4" s="26"/>
      <c r="F4" s="26"/>
      <c r="G4" s="5"/>
    </row>
    <row r="5" spans="1:14" x14ac:dyDescent="0.25">
      <c r="A5" s="108" t="s">
        <v>14</v>
      </c>
      <c r="B5" s="112" t="s">
        <v>50</v>
      </c>
      <c r="C5" s="112"/>
      <c r="D5" s="112"/>
      <c r="E5" s="112"/>
      <c r="F5" s="112" t="s">
        <v>51</v>
      </c>
      <c r="G5" s="112"/>
      <c r="H5" s="112"/>
      <c r="I5" s="112"/>
      <c r="J5" s="98" t="s">
        <v>52</v>
      </c>
      <c r="K5" s="99"/>
      <c r="L5" s="99"/>
      <c r="M5" s="99"/>
      <c r="N5" s="100"/>
    </row>
    <row r="6" spans="1:14" s="27" customFormat="1" ht="12.75" x14ac:dyDescent="0.2">
      <c r="A6" s="108"/>
      <c r="B6" s="38" t="s">
        <v>41</v>
      </c>
      <c r="C6" s="38" t="s">
        <v>42</v>
      </c>
      <c r="D6" s="38" t="s">
        <v>15</v>
      </c>
      <c r="E6" s="38" t="s">
        <v>43</v>
      </c>
      <c r="F6" s="38" t="s">
        <v>41</v>
      </c>
      <c r="G6" s="38" t="s">
        <v>42</v>
      </c>
      <c r="H6" s="38" t="s">
        <v>15</v>
      </c>
      <c r="I6" s="38" t="s">
        <v>43</v>
      </c>
      <c r="J6" s="38" t="s">
        <v>41</v>
      </c>
      <c r="K6" s="38" t="s">
        <v>42</v>
      </c>
      <c r="L6" s="38" t="s">
        <v>15</v>
      </c>
      <c r="M6" s="38" t="s">
        <v>43</v>
      </c>
      <c r="N6" s="44" t="s">
        <v>9</v>
      </c>
    </row>
    <row r="7" spans="1:14" s="27" customFormat="1" ht="12.75" x14ac:dyDescent="0.2">
      <c r="A7" s="36" t="str">
        <f>IF('Instructions &amp; Summary'!$E$3="1H","January","July")</f>
        <v>January</v>
      </c>
      <c r="B7" s="41">
        <f>VLOOKUP($A7,'Bidding Load'!$A$5:$E$16,MATCH(B$6,'Bidding Load'!$A$4:$E$4,0),FALSE)</f>
        <v>12910</v>
      </c>
      <c r="C7" s="41">
        <f>VLOOKUP($A7,'Bidding Load'!$A$5:$E$16,MATCH(C$6,'Bidding Load'!$A$4:$E$4,0),FALSE)</f>
        <v>1704</v>
      </c>
      <c r="D7" s="41">
        <f>VLOOKUP($A7,'Bidding Load'!$A$5:$E$16,MATCH(D$6,'Bidding Load'!$A$4:$E$4,0),FALSE)</f>
        <v>45302</v>
      </c>
      <c r="E7" s="41">
        <f>VLOOKUP($A7,'Bidding Load'!$A$5:$E$16,MATCH(E$6,'Bidding Load'!$A$4:$E$4,0),FALSE)</f>
        <v>0</v>
      </c>
      <c r="F7" s="54"/>
      <c r="G7" s="54"/>
      <c r="H7" s="54"/>
      <c r="I7" s="59" t="s">
        <v>44</v>
      </c>
      <c r="J7" s="56">
        <f t="shared" ref="J7:J12" si="0">ROUND(F7,2)*B7</f>
        <v>0</v>
      </c>
      <c r="K7" s="56">
        <f t="shared" ref="K7:L12" si="1">ROUND(G7,2)*C7</f>
        <v>0</v>
      </c>
      <c r="L7" s="56">
        <f t="shared" si="1"/>
        <v>0</v>
      </c>
      <c r="M7" s="40" t="s">
        <v>44</v>
      </c>
      <c r="N7" s="56">
        <f t="shared" ref="N7:N12" si="2">SUM(J7:L7)</f>
        <v>0</v>
      </c>
    </row>
    <row r="8" spans="1:14" s="27" customFormat="1" ht="12.75" x14ac:dyDescent="0.2">
      <c r="A8" s="36" t="str">
        <f>IF('Instructions &amp; Summary'!$E$3="1H","February","August")</f>
        <v>February</v>
      </c>
      <c r="B8" s="41">
        <f>VLOOKUP($A8,'Bidding Load'!$A$5:$E$16,MATCH(B$6,'Bidding Load'!$A$4:$E$4,0),FALSE)</f>
        <v>11351</v>
      </c>
      <c r="C8" s="41">
        <f>VLOOKUP($A8,'Bidding Load'!$A$5:$E$16,MATCH(C$6,'Bidding Load'!$A$4:$E$4,0),FALSE)</f>
        <v>1853</v>
      </c>
      <c r="D8" s="41">
        <f>VLOOKUP($A8,'Bidding Load'!$A$5:$E$16,MATCH(D$6,'Bidding Load'!$A$4:$E$4,0),FALSE)</f>
        <v>36807</v>
      </c>
      <c r="E8" s="41">
        <f>VLOOKUP($A8,'Bidding Load'!$A$5:$E$16,MATCH(E$6,'Bidding Load'!$A$4:$E$4,0),FALSE)</f>
        <v>0</v>
      </c>
      <c r="F8" s="54"/>
      <c r="G8" s="54"/>
      <c r="H8" s="54"/>
      <c r="I8" s="59" t="s">
        <v>44</v>
      </c>
      <c r="J8" s="56">
        <f t="shared" si="0"/>
        <v>0</v>
      </c>
      <c r="K8" s="56">
        <f t="shared" si="1"/>
        <v>0</v>
      </c>
      <c r="L8" s="56">
        <f t="shared" si="1"/>
        <v>0</v>
      </c>
      <c r="M8" s="40" t="s">
        <v>44</v>
      </c>
      <c r="N8" s="56">
        <f t="shared" si="2"/>
        <v>0</v>
      </c>
    </row>
    <row r="9" spans="1:14" s="27" customFormat="1" ht="12.75" x14ac:dyDescent="0.2">
      <c r="A9" s="36" t="str">
        <f>IF('Instructions &amp; Summary'!$E$3="1H","March","September")</f>
        <v>March</v>
      </c>
      <c r="B9" s="41">
        <f>VLOOKUP($A9,'Bidding Load'!$A$5:$E$16,MATCH(B$6,'Bidding Load'!$A$4:$E$4,0),FALSE)</f>
        <v>10474</v>
      </c>
      <c r="C9" s="41">
        <f>VLOOKUP($A9,'Bidding Load'!$A$5:$E$16,MATCH(C$6,'Bidding Load'!$A$4:$E$4,0),FALSE)</f>
        <v>1618</v>
      </c>
      <c r="D9" s="41">
        <f>VLOOKUP($A9,'Bidding Load'!$A$5:$E$16,MATCH(D$6,'Bidding Load'!$A$4:$E$4,0),FALSE)</f>
        <v>27827</v>
      </c>
      <c r="E9" s="41">
        <f>VLOOKUP($A9,'Bidding Load'!$A$5:$E$16,MATCH(E$6,'Bidding Load'!$A$4:$E$4,0),FALSE)</f>
        <v>0</v>
      </c>
      <c r="F9" s="54"/>
      <c r="G9" s="54"/>
      <c r="H9" s="54"/>
      <c r="I9" s="59" t="s">
        <v>44</v>
      </c>
      <c r="J9" s="56">
        <f t="shared" si="0"/>
        <v>0</v>
      </c>
      <c r="K9" s="56">
        <f t="shared" si="1"/>
        <v>0</v>
      </c>
      <c r="L9" s="56">
        <f t="shared" si="1"/>
        <v>0</v>
      </c>
      <c r="M9" s="40" t="s">
        <v>44</v>
      </c>
      <c r="N9" s="56">
        <f t="shared" si="2"/>
        <v>0</v>
      </c>
    </row>
    <row r="10" spans="1:14" s="27" customFormat="1" ht="12.75" x14ac:dyDescent="0.2">
      <c r="A10" s="36" t="str">
        <f>IF('Instructions &amp; Summary'!$E$3="1H","April","October")</f>
        <v>April</v>
      </c>
      <c r="B10" s="41">
        <f>VLOOKUP($A10,'Bidding Load'!$A$5:$E$16,MATCH(B$6,'Bidding Load'!$A$4:$E$4,0),FALSE)</f>
        <v>10208</v>
      </c>
      <c r="C10" s="41">
        <f>VLOOKUP($A10,'Bidding Load'!$A$5:$E$16,MATCH(C$6,'Bidding Load'!$A$4:$E$4,0),FALSE)</f>
        <v>1624</v>
      </c>
      <c r="D10" s="41">
        <f>VLOOKUP($A10,'Bidding Load'!$A$5:$E$16,MATCH(D$6,'Bidding Load'!$A$4:$E$4,0),FALSE)</f>
        <v>26207</v>
      </c>
      <c r="E10" s="41">
        <f>VLOOKUP($A10,'Bidding Load'!$A$5:$E$16,MATCH(E$6,'Bidding Load'!$A$4:$E$4,0),FALSE)</f>
        <v>0</v>
      </c>
      <c r="F10" s="54"/>
      <c r="G10" s="54"/>
      <c r="H10" s="54"/>
      <c r="I10" s="59" t="s">
        <v>44</v>
      </c>
      <c r="J10" s="56">
        <f t="shared" si="0"/>
        <v>0</v>
      </c>
      <c r="K10" s="56">
        <f t="shared" si="1"/>
        <v>0</v>
      </c>
      <c r="L10" s="56">
        <f t="shared" si="1"/>
        <v>0</v>
      </c>
      <c r="M10" s="40" t="s">
        <v>44</v>
      </c>
      <c r="N10" s="56">
        <f t="shared" si="2"/>
        <v>0</v>
      </c>
    </row>
    <row r="11" spans="1:14" s="27" customFormat="1" ht="12.75" x14ac:dyDescent="0.2">
      <c r="A11" s="36" t="str">
        <f>IF('Instructions &amp; Summary'!$E$3="1H","May","November")</f>
        <v>May</v>
      </c>
      <c r="B11" s="41">
        <f>VLOOKUP($A11,'Bidding Load'!$A$5:$E$16,MATCH(B$6,'Bidding Load'!$A$4:$E$4,0),FALSE)</f>
        <v>10432</v>
      </c>
      <c r="C11" s="41">
        <f>VLOOKUP($A11,'Bidding Load'!$A$5:$E$16,MATCH(C$6,'Bidding Load'!$A$4:$E$4,0),FALSE)</f>
        <v>1787</v>
      </c>
      <c r="D11" s="41">
        <f>VLOOKUP($A11,'Bidding Load'!$A$5:$E$16,MATCH(D$6,'Bidding Load'!$A$4:$E$4,0),FALSE)</f>
        <v>25041</v>
      </c>
      <c r="E11" s="41">
        <f>VLOOKUP($A11,'Bidding Load'!$A$5:$E$16,MATCH(E$6,'Bidding Load'!$A$4:$E$4,0),FALSE)</f>
        <v>0</v>
      </c>
      <c r="F11" s="54"/>
      <c r="G11" s="54"/>
      <c r="H11" s="54"/>
      <c r="I11" s="59" t="s">
        <v>44</v>
      </c>
      <c r="J11" s="56">
        <f t="shared" si="0"/>
        <v>0</v>
      </c>
      <c r="K11" s="56">
        <f t="shared" si="1"/>
        <v>0</v>
      </c>
      <c r="L11" s="56">
        <f t="shared" si="1"/>
        <v>0</v>
      </c>
      <c r="M11" s="40" t="s">
        <v>44</v>
      </c>
      <c r="N11" s="56">
        <f t="shared" si="2"/>
        <v>0</v>
      </c>
    </row>
    <row r="12" spans="1:14" s="27" customFormat="1" ht="12.75" x14ac:dyDescent="0.2">
      <c r="A12" s="36" t="str">
        <f>IF('Instructions &amp; Summary'!$E$3="1H","June","December")</f>
        <v>June</v>
      </c>
      <c r="B12" s="41">
        <f>VLOOKUP($A12,'Bidding Load'!$A$5:$E$16,MATCH(B$6,'Bidding Load'!$A$4:$E$4,0),FALSE)</f>
        <v>13255</v>
      </c>
      <c r="C12" s="41">
        <f>VLOOKUP($A12,'Bidding Load'!$A$5:$E$16,MATCH(C$6,'Bidding Load'!$A$4:$E$4,0),FALSE)</f>
        <v>1852</v>
      </c>
      <c r="D12" s="41">
        <f>VLOOKUP($A12,'Bidding Load'!$A$5:$E$16,MATCH(D$6,'Bidding Load'!$A$4:$E$4,0),FALSE)</f>
        <v>37632</v>
      </c>
      <c r="E12" s="41">
        <f>VLOOKUP($A12,'Bidding Load'!$A$5:$E$16,MATCH(E$6,'Bidding Load'!$A$4:$E$4,0),FALSE)</f>
        <v>0</v>
      </c>
      <c r="F12" s="54"/>
      <c r="G12" s="54"/>
      <c r="H12" s="54"/>
      <c r="I12" s="59" t="s">
        <v>44</v>
      </c>
      <c r="J12" s="56">
        <f t="shared" si="0"/>
        <v>0</v>
      </c>
      <c r="K12" s="56">
        <f t="shared" si="1"/>
        <v>0</v>
      </c>
      <c r="L12" s="56">
        <f t="shared" si="1"/>
        <v>0</v>
      </c>
      <c r="M12" s="40" t="s">
        <v>44</v>
      </c>
      <c r="N12" s="56">
        <f t="shared" si="2"/>
        <v>0</v>
      </c>
    </row>
    <row r="13" spans="1:14" x14ac:dyDescent="0.25">
      <c r="A13" s="39" t="s">
        <v>45</v>
      </c>
      <c r="B13" s="42">
        <f>SUM(B7:B12)</f>
        <v>68630</v>
      </c>
      <c r="C13" s="42">
        <f>SUM(C7:C12)</f>
        <v>10438</v>
      </c>
      <c r="D13" s="42">
        <f>SUM(D7:D12)</f>
        <v>198816</v>
      </c>
      <c r="E13" s="42">
        <f>SUM(E7:E12)</f>
        <v>0</v>
      </c>
      <c r="F13" s="37" t="s">
        <v>44</v>
      </c>
      <c r="G13" s="37" t="s">
        <v>44</v>
      </c>
      <c r="H13" s="37" t="s">
        <v>44</v>
      </c>
      <c r="I13" s="37" t="s">
        <v>44</v>
      </c>
      <c r="J13" s="58">
        <f>SUM(J7:J12)</f>
        <v>0</v>
      </c>
      <c r="K13" s="58">
        <f>SUM(K7:K12)</f>
        <v>0</v>
      </c>
      <c r="L13" s="58">
        <f>SUM(L7:L12)</f>
        <v>0</v>
      </c>
      <c r="M13" s="37" t="s">
        <v>44</v>
      </c>
      <c r="N13" s="58">
        <f>SUM(N7:N12)</f>
        <v>0</v>
      </c>
    </row>
    <row r="15" spans="1:14" x14ac:dyDescent="0.25">
      <c r="A15" s="39" t="s">
        <v>56</v>
      </c>
      <c r="B15" s="43">
        <f>SUM(B13:E13)</f>
        <v>277884</v>
      </c>
    </row>
    <row r="16" spans="1:14" x14ac:dyDescent="0.25">
      <c r="G16" s="5"/>
    </row>
    <row r="17" spans="1:256" x14ac:dyDescent="0.25">
      <c r="A17" s="108" t="s">
        <v>14</v>
      </c>
      <c r="B17" s="112" t="s">
        <v>53</v>
      </c>
      <c r="C17" s="112"/>
      <c r="D17" s="112"/>
      <c r="E17" s="112"/>
      <c r="F17" s="112" t="s">
        <v>54</v>
      </c>
      <c r="G17" s="112"/>
      <c r="H17" s="112"/>
      <c r="I17" s="112"/>
      <c r="J17" s="98" t="s">
        <v>55</v>
      </c>
      <c r="K17" s="99"/>
      <c r="L17" s="99"/>
      <c r="M17" s="99"/>
      <c r="N17" s="100"/>
    </row>
    <row r="18" spans="1:256" s="27" customFormat="1" ht="12.75" x14ac:dyDescent="0.2">
      <c r="A18" s="108"/>
      <c r="B18" s="38" t="s">
        <v>41</v>
      </c>
      <c r="C18" s="38" t="s">
        <v>42</v>
      </c>
      <c r="D18" s="38" t="s">
        <v>15</v>
      </c>
      <c r="E18" s="38" t="s">
        <v>43</v>
      </c>
      <c r="F18" s="38" t="s">
        <v>41</v>
      </c>
      <c r="G18" s="38" t="s">
        <v>42</v>
      </c>
      <c r="H18" s="38" t="s">
        <v>15</v>
      </c>
      <c r="I18" s="38" t="s">
        <v>43</v>
      </c>
      <c r="J18" s="38" t="s">
        <v>41</v>
      </c>
      <c r="K18" s="38" t="s">
        <v>42</v>
      </c>
      <c r="L18" s="38" t="s">
        <v>15</v>
      </c>
      <c r="M18" s="38" t="s">
        <v>43</v>
      </c>
      <c r="N18" s="44" t="s">
        <v>9</v>
      </c>
    </row>
    <row r="19" spans="1:256" s="27" customFormat="1" ht="12.75" x14ac:dyDescent="0.2">
      <c r="A19" s="36" t="str">
        <f>IF('Instructions &amp; Summary'!$E$3="1H","January","July")</f>
        <v>January</v>
      </c>
      <c r="B19" s="41">
        <f>VLOOKUP($A19,'Bidding Load'!$A$21:$E$32,MATCH(B$18,'Bidding Load'!$A$20:$E$20,0),FALSE)</f>
        <v>31535</v>
      </c>
      <c r="C19" s="41">
        <f>VLOOKUP($A19,'Bidding Load'!$A$21:$E$32,MATCH(C$18,'Bidding Load'!$A$20:$E$20,0),FALSE)</f>
        <v>5311</v>
      </c>
      <c r="D19" s="41">
        <f>VLOOKUP($A19,'Bidding Load'!$A$21:$E$32,MATCH(D$18,'Bidding Load'!$A$20:$E$20,0),FALSE)</f>
        <v>134881</v>
      </c>
      <c r="E19" s="41">
        <f>VLOOKUP($A19,'Bidding Load'!$A$21:$E$32,MATCH(E$18,'Bidding Load'!$A$20:$E$20,0),FALSE)</f>
        <v>741</v>
      </c>
      <c r="F19" s="54"/>
      <c r="G19" s="54"/>
      <c r="H19" s="54"/>
      <c r="I19" s="54"/>
      <c r="J19" s="56">
        <f t="shared" ref="J19:J24" si="3">ROUND(F19,2)*B19</f>
        <v>0</v>
      </c>
      <c r="K19" s="56">
        <f t="shared" ref="K19:M24" si="4">ROUND(G19,2)*C19</f>
        <v>0</v>
      </c>
      <c r="L19" s="56">
        <f t="shared" si="4"/>
        <v>0</v>
      </c>
      <c r="M19" s="56">
        <f t="shared" si="4"/>
        <v>0</v>
      </c>
      <c r="N19" s="56">
        <f t="shared" ref="N19:N24" si="5">SUM(J19:M19)</f>
        <v>0</v>
      </c>
    </row>
    <row r="20" spans="1:256" s="27" customFormat="1" ht="12.75" x14ac:dyDescent="0.2">
      <c r="A20" s="36" t="str">
        <f>IF('Instructions &amp; Summary'!$E$3="1H","February","August")</f>
        <v>February</v>
      </c>
      <c r="B20" s="41">
        <f>VLOOKUP($A20,'Bidding Load'!$A$21:$E$32,MATCH(B$18,'Bidding Load'!$A$20:$E$20,0),FALSE)</f>
        <v>28300</v>
      </c>
      <c r="C20" s="41">
        <f>VLOOKUP($A20,'Bidding Load'!$A$21:$E$32,MATCH(C$18,'Bidding Load'!$A$20:$E$20,0),FALSE)</f>
        <v>5425</v>
      </c>
      <c r="D20" s="41">
        <f>VLOOKUP($A20,'Bidding Load'!$A$21:$E$32,MATCH(D$18,'Bidding Load'!$A$20:$E$20,0),FALSE)</f>
        <v>117905</v>
      </c>
      <c r="E20" s="41">
        <f>VLOOKUP($A20,'Bidding Load'!$A$21:$E$32,MATCH(E$18,'Bidding Load'!$A$20:$E$20,0),FALSE)</f>
        <v>741</v>
      </c>
      <c r="F20" s="54"/>
      <c r="G20" s="54"/>
      <c r="H20" s="54"/>
      <c r="I20" s="54"/>
      <c r="J20" s="56">
        <f t="shared" si="3"/>
        <v>0</v>
      </c>
      <c r="K20" s="56">
        <f t="shared" si="4"/>
        <v>0</v>
      </c>
      <c r="L20" s="56">
        <f t="shared" si="4"/>
        <v>0</v>
      </c>
      <c r="M20" s="56">
        <f t="shared" si="4"/>
        <v>0</v>
      </c>
      <c r="N20" s="56">
        <f t="shared" si="5"/>
        <v>0</v>
      </c>
    </row>
    <row r="21" spans="1:256" s="27" customFormat="1" ht="12.75" x14ac:dyDescent="0.2">
      <c r="A21" s="36" t="str">
        <f>IF('Instructions &amp; Summary'!$E$3="1H","March","September")</f>
        <v>March</v>
      </c>
      <c r="B21" s="41">
        <f>VLOOKUP($A21,'Bidding Load'!$A$21:$E$32,MATCH(B$18,'Bidding Load'!$A$20:$E$20,0),FALSE)</f>
        <v>26204</v>
      </c>
      <c r="C21" s="41">
        <f>VLOOKUP($A21,'Bidding Load'!$A$21:$E$32,MATCH(C$18,'Bidding Load'!$A$20:$E$20,0),FALSE)</f>
        <v>4787</v>
      </c>
      <c r="D21" s="41">
        <f>VLOOKUP($A21,'Bidding Load'!$A$21:$E$32,MATCH(D$18,'Bidding Load'!$A$20:$E$20,0),FALSE)</f>
        <v>96196</v>
      </c>
      <c r="E21" s="41">
        <f>VLOOKUP($A21,'Bidding Load'!$A$21:$E$32,MATCH(E$18,'Bidding Load'!$A$20:$E$20,0),FALSE)</f>
        <v>544</v>
      </c>
      <c r="F21" s="54"/>
      <c r="G21" s="54"/>
      <c r="H21" s="54"/>
      <c r="I21" s="54"/>
      <c r="J21" s="56">
        <f t="shared" si="3"/>
        <v>0</v>
      </c>
      <c r="K21" s="56">
        <f t="shared" si="4"/>
        <v>0</v>
      </c>
      <c r="L21" s="56">
        <f t="shared" si="4"/>
        <v>0</v>
      </c>
      <c r="M21" s="56">
        <f t="shared" si="4"/>
        <v>0</v>
      </c>
      <c r="N21" s="56">
        <f t="shared" si="5"/>
        <v>0</v>
      </c>
    </row>
    <row r="22" spans="1:256" s="27" customFormat="1" ht="12.75" x14ac:dyDescent="0.2">
      <c r="A22" s="36" t="str">
        <f>IF('Instructions &amp; Summary'!$E$3="1H","April","October")</f>
        <v>April</v>
      </c>
      <c r="B22" s="41">
        <f>VLOOKUP($A22,'Bidding Load'!$A$21:$E$32,MATCH(B$18,'Bidding Load'!$A$20:$E$20,0),FALSE)</f>
        <v>24551</v>
      </c>
      <c r="C22" s="41">
        <f>VLOOKUP($A22,'Bidding Load'!$A$21:$E$32,MATCH(C$18,'Bidding Load'!$A$20:$E$20,0),FALSE)</f>
        <v>5326</v>
      </c>
      <c r="D22" s="41">
        <f>VLOOKUP($A22,'Bidding Load'!$A$21:$E$32,MATCH(D$18,'Bidding Load'!$A$20:$E$20,0),FALSE)</f>
        <v>85641</v>
      </c>
      <c r="E22" s="41">
        <f>VLOOKUP($A22,'Bidding Load'!$A$21:$E$32,MATCH(E$18,'Bidding Load'!$A$20:$E$20,0),FALSE)</f>
        <v>501</v>
      </c>
      <c r="F22" s="54"/>
      <c r="G22" s="54"/>
      <c r="H22" s="54"/>
      <c r="I22" s="54"/>
      <c r="J22" s="56">
        <f t="shared" si="3"/>
        <v>0</v>
      </c>
      <c r="K22" s="56">
        <f t="shared" si="4"/>
        <v>0</v>
      </c>
      <c r="L22" s="56">
        <f t="shared" si="4"/>
        <v>0</v>
      </c>
      <c r="M22" s="56">
        <f t="shared" si="4"/>
        <v>0</v>
      </c>
      <c r="N22" s="56">
        <f t="shared" si="5"/>
        <v>0</v>
      </c>
    </row>
    <row r="23" spans="1:256" s="27" customFormat="1" ht="12.75" x14ac:dyDescent="0.2">
      <c r="A23" s="36" t="str">
        <f>IF('Instructions &amp; Summary'!$E$3="1H","May","November")</f>
        <v>May</v>
      </c>
      <c r="B23" s="41">
        <f>VLOOKUP($A23,'Bidding Load'!$A$21:$E$32,MATCH(B$18,'Bidding Load'!$A$20:$E$20,0),FALSE)</f>
        <v>24769</v>
      </c>
      <c r="C23" s="41">
        <f>VLOOKUP($A23,'Bidding Load'!$A$21:$E$32,MATCH(C$18,'Bidding Load'!$A$20:$E$20,0),FALSE)</f>
        <v>5647</v>
      </c>
      <c r="D23" s="41">
        <f>VLOOKUP($A23,'Bidding Load'!$A$21:$E$32,MATCH(D$18,'Bidding Load'!$A$20:$E$20,0),FALSE)</f>
        <v>79724</v>
      </c>
      <c r="E23" s="41">
        <f>VLOOKUP($A23,'Bidding Load'!$A$21:$E$32,MATCH(E$18,'Bidding Load'!$A$20:$E$20,0),FALSE)</f>
        <v>490</v>
      </c>
      <c r="F23" s="54"/>
      <c r="G23" s="54"/>
      <c r="H23" s="54"/>
      <c r="I23" s="54"/>
      <c r="J23" s="56">
        <f t="shared" si="3"/>
        <v>0</v>
      </c>
      <c r="K23" s="56">
        <f t="shared" si="4"/>
        <v>0</v>
      </c>
      <c r="L23" s="56">
        <f t="shared" si="4"/>
        <v>0</v>
      </c>
      <c r="M23" s="56">
        <f t="shared" si="4"/>
        <v>0</v>
      </c>
      <c r="N23" s="56">
        <f t="shared" si="5"/>
        <v>0</v>
      </c>
    </row>
    <row r="24" spans="1:256" s="27" customFormat="1" ht="12.75" x14ac:dyDescent="0.2">
      <c r="A24" s="36" t="str">
        <f>IF('Instructions &amp; Summary'!$E$3="1H","June","December")</f>
        <v>June</v>
      </c>
      <c r="B24" s="41">
        <f>VLOOKUP($A24,'Bidding Load'!$A$21:$E$32,MATCH(B$18,'Bidding Load'!$A$20:$E$20,0),FALSE)</f>
        <v>27540</v>
      </c>
      <c r="C24" s="41">
        <f>VLOOKUP($A24,'Bidding Load'!$A$21:$E$32,MATCH(C$18,'Bidding Load'!$A$20:$E$20,0),FALSE)</f>
        <v>5530</v>
      </c>
      <c r="D24" s="41">
        <f>VLOOKUP($A24,'Bidding Load'!$A$21:$E$32,MATCH(D$18,'Bidding Load'!$A$20:$E$20,0),FALSE)</f>
        <v>101553</v>
      </c>
      <c r="E24" s="41">
        <f>VLOOKUP($A24,'Bidding Load'!$A$21:$E$32,MATCH(E$18,'Bidding Load'!$A$20:$E$20,0),FALSE)</f>
        <v>415</v>
      </c>
      <c r="F24" s="54"/>
      <c r="G24" s="54"/>
      <c r="H24" s="54"/>
      <c r="I24" s="54"/>
      <c r="J24" s="56">
        <f t="shared" si="3"/>
        <v>0</v>
      </c>
      <c r="K24" s="56">
        <f t="shared" si="4"/>
        <v>0</v>
      </c>
      <c r="L24" s="56">
        <f t="shared" si="4"/>
        <v>0</v>
      </c>
      <c r="M24" s="56">
        <f t="shared" si="4"/>
        <v>0</v>
      </c>
      <c r="N24" s="56">
        <f t="shared" si="5"/>
        <v>0</v>
      </c>
    </row>
    <row r="25" spans="1:256" x14ac:dyDescent="0.25">
      <c r="A25" s="39" t="s">
        <v>45</v>
      </c>
      <c r="B25" s="42">
        <f>SUM(B19:B24)</f>
        <v>162899</v>
      </c>
      <c r="C25" s="42">
        <f>SUM(C19:C24)</f>
        <v>32026</v>
      </c>
      <c r="D25" s="42">
        <f>SUM(D19:D24)</f>
        <v>615900</v>
      </c>
      <c r="E25" s="42">
        <f>SUM(E19:E24)</f>
        <v>3432</v>
      </c>
      <c r="F25" s="37" t="s">
        <v>44</v>
      </c>
      <c r="G25" s="37" t="s">
        <v>44</v>
      </c>
      <c r="H25" s="37" t="s">
        <v>44</v>
      </c>
      <c r="I25" s="37" t="s">
        <v>44</v>
      </c>
      <c r="J25" s="58">
        <f>SUM(J19:J24)</f>
        <v>0</v>
      </c>
      <c r="K25" s="58">
        <f>SUM(K19:K24)</f>
        <v>0</v>
      </c>
      <c r="L25" s="58">
        <f>SUM(L19:L24)</f>
        <v>0</v>
      </c>
      <c r="M25" s="58">
        <f>SUM(M19:M24)</f>
        <v>0</v>
      </c>
      <c r="N25" s="58">
        <f>SUM(N19:N24)</f>
        <v>0</v>
      </c>
      <c r="O25" s="28"/>
      <c r="P25" s="29"/>
      <c r="Q25" s="29"/>
      <c r="R25" s="29"/>
      <c r="S25" s="29"/>
      <c r="T25" s="28"/>
      <c r="U25" s="3"/>
      <c r="V25" s="3"/>
      <c r="W25" s="3"/>
      <c r="X25" s="30"/>
      <c r="Y25" s="30"/>
      <c r="Z25" s="30"/>
      <c r="AA25" s="31"/>
      <c r="AB25" s="30"/>
      <c r="AC25" s="28"/>
      <c r="AD25" s="29"/>
      <c r="AE25" s="29"/>
      <c r="AF25" s="29"/>
      <c r="AG25" s="29"/>
      <c r="AH25" s="28"/>
      <c r="AI25" s="3"/>
      <c r="AJ25" s="3"/>
      <c r="AK25" s="3"/>
      <c r="AL25" s="30"/>
      <c r="AM25" s="30"/>
      <c r="AN25" s="30"/>
      <c r="AO25" s="31"/>
      <c r="AP25" s="30"/>
      <c r="AQ25" s="28"/>
      <c r="AR25" s="29"/>
      <c r="AS25" s="29"/>
      <c r="AT25" s="29"/>
      <c r="AU25" s="29"/>
      <c r="AV25" s="28"/>
      <c r="AW25" s="3"/>
      <c r="AX25" s="3"/>
      <c r="AY25" s="3"/>
      <c r="AZ25" s="30"/>
      <c r="BA25" s="30"/>
      <c r="BB25" s="30"/>
      <c r="BC25" s="31"/>
      <c r="BD25" s="30"/>
      <c r="BE25" s="28"/>
      <c r="BF25" s="29"/>
      <c r="BG25" s="29"/>
      <c r="BH25" s="29"/>
      <c r="BI25" s="29"/>
      <c r="BJ25" s="28"/>
      <c r="BK25" s="3"/>
      <c r="BL25" s="3"/>
      <c r="BM25" s="3"/>
      <c r="BN25" s="30"/>
      <c r="BO25" s="30"/>
      <c r="BP25" s="30"/>
      <c r="BQ25" s="31"/>
      <c r="BR25" s="30"/>
      <c r="BS25" s="28"/>
      <c r="BT25" s="29"/>
      <c r="BU25" s="29"/>
      <c r="BV25" s="29"/>
      <c r="BW25" s="29"/>
      <c r="BX25" s="28"/>
      <c r="BY25" s="3"/>
      <c r="BZ25" s="3"/>
      <c r="CA25" s="3"/>
      <c r="CB25" s="30"/>
      <c r="CC25" s="30"/>
      <c r="CD25" s="30"/>
      <c r="CE25" s="31"/>
      <c r="CF25" s="30"/>
      <c r="CG25" s="28"/>
      <c r="CH25" s="29"/>
      <c r="CI25" s="29"/>
      <c r="CJ25" s="29"/>
      <c r="CK25" s="29"/>
      <c r="CL25" s="28"/>
      <c r="CM25" s="3"/>
      <c r="CN25" s="3"/>
      <c r="CO25" s="3"/>
      <c r="CP25" s="30"/>
      <c r="CQ25" s="30"/>
      <c r="CR25" s="30"/>
      <c r="CS25" s="31"/>
      <c r="CT25" s="30"/>
      <c r="CU25" s="28"/>
      <c r="CV25" s="29"/>
      <c r="CW25" s="29"/>
      <c r="CX25" s="29"/>
      <c r="CY25" s="29"/>
      <c r="CZ25" s="28"/>
      <c r="DA25" s="3"/>
      <c r="DB25" s="3"/>
      <c r="DC25" s="3"/>
      <c r="DD25" s="30"/>
      <c r="DE25" s="30"/>
      <c r="DF25" s="30"/>
      <c r="DG25" s="31"/>
      <c r="DH25" s="30"/>
      <c r="DI25" s="28"/>
      <c r="DJ25" s="29"/>
      <c r="DK25" s="29"/>
      <c r="DL25" s="29"/>
      <c r="DM25" s="29"/>
      <c r="DN25" s="28"/>
      <c r="DO25" s="3"/>
      <c r="DP25" s="3"/>
      <c r="DQ25" s="3"/>
      <c r="DR25" s="30"/>
      <c r="DS25" s="30"/>
      <c r="DT25" s="30"/>
      <c r="DU25" s="31"/>
      <c r="DV25" s="30"/>
      <c r="DW25" s="28"/>
      <c r="DX25" s="29"/>
      <c r="DY25" s="29"/>
      <c r="DZ25" s="29"/>
      <c r="EA25" s="29"/>
      <c r="EB25" s="28"/>
      <c r="EC25" s="3"/>
      <c r="ED25" s="3"/>
      <c r="EE25" s="3"/>
      <c r="EF25" s="30"/>
      <c r="EG25" s="30"/>
      <c r="EH25" s="30"/>
      <c r="EI25" s="31"/>
      <c r="EJ25" s="30"/>
      <c r="EK25" s="28"/>
      <c r="EL25" s="29"/>
      <c r="EM25" s="29"/>
      <c r="EN25" s="29"/>
      <c r="EO25" s="29"/>
      <c r="EP25" s="28"/>
      <c r="EQ25" s="3"/>
      <c r="ER25" s="3"/>
      <c r="ES25" s="3"/>
      <c r="ET25" s="30"/>
      <c r="EU25" s="30"/>
      <c r="EV25" s="30"/>
      <c r="EW25" s="31"/>
      <c r="EX25" s="30"/>
      <c r="EY25" s="28"/>
      <c r="EZ25" s="29"/>
      <c r="FA25" s="29"/>
      <c r="FB25" s="29"/>
      <c r="FC25" s="29"/>
      <c r="FD25" s="28"/>
      <c r="FE25" s="3"/>
      <c r="FF25" s="3"/>
      <c r="FG25" s="3"/>
      <c r="FH25" s="30"/>
      <c r="FI25" s="30"/>
      <c r="FJ25" s="30"/>
      <c r="FK25" s="31"/>
      <c r="FL25" s="30"/>
      <c r="FM25" s="28"/>
      <c r="FN25" s="29"/>
      <c r="FO25" s="29"/>
      <c r="FP25" s="29"/>
      <c r="FQ25" s="29"/>
      <c r="FR25" s="28"/>
      <c r="FS25" s="3"/>
      <c r="FT25" s="3"/>
      <c r="FU25" s="3"/>
      <c r="FV25" s="30"/>
      <c r="FW25" s="30"/>
      <c r="FX25" s="30"/>
      <c r="FY25" s="31"/>
      <c r="FZ25" s="30"/>
      <c r="GA25" s="28"/>
      <c r="GB25" s="29"/>
      <c r="GC25" s="29"/>
      <c r="GD25" s="29"/>
      <c r="GE25" s="29"/>
      <c r="GF25" s="28"/>
      <c r="GG25" s="3"/>
      <c r="GH25" s="3"/>
      <c r="GI25" s="3"/>
      <c r="GJ25" s="30"/>
      <c r="GK25" s="30"/>
      <c r="GL25" s="30"/>
      <c r="GM25" s="31"/>
      <c r="GN25" s="30"/>
      <c r="GO25" s="28"/>
      <c r="GP25" s="29"/>
      <c r="GQ25" s="29"/>
      <c r="GR25" s="29"/>
      <c r="GS25" s="29"/>
      <c r="GT25" s="28"/>
      <c r="GU25" s="3"/>
      <c r="GV25" s="3"/>
      <c r="GW25" s="3"/>
      <c r="GX25" s="30"/>
      <c r="GY25" s="30"/>
      <c r="GZ25" s="30"/>
      <c r="HA25" s="31"/>
      <c r="HB25" s="30"/>
      <c r="HC25" s="28"/>
      <c r="HD25" s="29"/>
      <c r="HE25" s="29"/>
      <c r="HF25" s="29"/>
      <c r="HG25" s="29"/>
      <c r="HH25" s="28"/>
      <c r="HI25" s="3"/>
      <c r="HJ25" s="3"/>
      <c r="HK25" s="3"/>
      <c r="HL25" s="30"/>
      <c r="HM25" s="30"/>
      <c r="HN25" s="30"/>
      <c r="HO25" s="31"/>
      <c r="HP25" s="30"/>
      <c r="HQ25" s="28"/>
      <c r="HR25" s="29"/>
      <c r="HS25" s="29"/>
      <c r="HT25" s="29"/>
      <c r="HU25" s="29"/>
      <c r="HV25" s="28"/>
      <c r="HW25" s="3"/>
      <c r="HX25" s="3"/>
      <c r="HY25" s="3"/>
      <c r="HZ25" s="30"/>
      <c r="IA25" s="30"/>
      <c r="IB25" s="30"/>
      <c r="IC25" s="31"/>
      <c r="ID25" s="30"/>
      <c r="IE25" s="28"/>
      <c r="IF25" s="29"/>
      <c r="IG25" s="29"/>
      <c r="IH25" s="29"/>
      <c r="II25" s="29"/>
      <c r="IJ25" s="28"/>
      <c r="IK25" s="3"/>
      <c r="IL25" s="3"/>
      <c r="IM25" s="3"/>
      <c r="IN25" s="30"/>
      <c r="IO25" s="30"/>
      <c r="IP25" s="30"/>
      <c r="IQ25" s="31"/>
      <c r="IR25" s="30"/>
      <c r="IS25" s="28"/>
      <c r="IT25" s="29"/>
      <c r="IU25" s="29"/>
      <c r="IV25" s="29"/>
    </row>
    <row r="27" spans="1:256" x14ac:dyDescent="0.25">
      <c r="A27" s="39" t="s">
        <v>57</v>
      </c>
      <c r="B27" s="43">
        <f>SUM(B25:E25)</f>
        <v>814257</v>
      </c>
      <c r="E27" s="102" t="s">
        <v>47</v>
      </c>
      <c r="F27" s="103"/>
      <c r="G27" s="103"/>
      <c r="H27" s="103"/>
      <c r="I27" s="104"/>
    </row>
    <row r="28" spans="1:256" x14ac:dyDescent="0.25">
      <c r="E28" s="50"/>
      <c r="F28" s="51"/>
      <c r="G28" s="52"/>
      <c r="H28" s="52"/>
      <c r="I28" s="53"/>
    </row>
    <row r="29" spans="1:256" x14ac:dyDescent="0.25">
      <c r="A29" s="48" t="s">
        <v>61</v>
      </c>
      <c r="B29" s="43">
        <f>B15+B27</f>
        <v>1092141</v>
      </c>
      <c r="E29" s="109" t="str">
        <f>'Instructions &amp; Summary'!$A$18</f>
        <v>SAMPLE - Bidder "X"- NOT TO BE USED FOR BID SUBMITTAL</v>
      </c>
      <c r="F29" s="110"/>
      <c r="G29" s="110"/>
      <c r="H29" s="110"/>
      <c r="I29" s="111"/>
    </row>
    <row r="30" spans="1:256" x14ac:dyDescent="0.25">
      <c r="E30" s="109" t="str">
        <f>'Instructions &amp; Summary'!$A$19</f>
        <v>Bidder "X"</v>
      </c>
      <c r="F30" s="110"/>
      <c r="G30" s="110"/>
      <c r="H30" s="110"/>
      <c r="I30" s="111"/>
    </row>
    <row r="31" spans="1:256" ht="12.75" customHeight="1" x14ac:dyDescent="0.25">
      <c r="A31" s="48" t="str">
        <f>A3</f>
        <v>UI SS Tranche 3</v>
      </c>
      <c r="B31" s="38" t="s">
        <v>62</v>
      </c>
      <c r="C31" s="38" t="s">
        <v>46</v>
      </c>
      <c r="E31" s="105" t="str">
        <f>B3</f>
        <v>January 1, 2027 through June 30, 2027 - 10% of the SS TOTAL load</v>
      </c>
      <c r="F31" s="113"/>
      <c r="G31" s="113"/>
      <c r="H31" s="113"/>
      <c r="I31" s="114"/>
    </row>
    <row r="32" spans="1:256" ht="12.75" customHeight="1" x14ac:dyDescent="0.25">
      <c r="A32" s="49" t="s">
        <v>58</v>
      </c>
      <c r="B32" s="61">
        <f>N13</f>
        <v>0</v>
      </c>
      <c r="C32" s="62">
        <f>ROUND(B32/B15,2)</f>
        <v>0</v>
      </c>
    </row>
    <row r="33" spans="1:8" ht="12.75" customHeight="1" x14ac:dyDescent="0.25">
      <c r="A33" s="49" t="s">
        <v>59</v>
      </c>
      <c r="B33" s="61">
        <f>N25</f>
        <v>0</v>
      </c>
      <c r="C33" s="62">
        <f>ROUND(B33/B27,2)</f>
        <v>0</v>
      </c>
      <c r="D33" s="7"/>
    </row>
    <row r="34" spans="1:8" ht="12.75" customHeight="1" x14ac:dyDescent="0.25">
      <c r="A34" s="55" t="s">
        <v>60</v>
      </c>
      <c r="B34" s="63">
        <f>SUM(B32:B33)</f>
        <v>0</v>
      </c>
      <c r="C34" s="64">
        <f>ROUND(B34/B29,2)</f>
        <v>0</v>
      </c>
    </row>
    <row r="35" spans="1:8" ht="30" customHeight="1" x14ac:dyDescent="0.25">
      <c r="A35" s="45"/>
      <c r="B35" s="46"/>
      <c r="C35" s="47"/>
    </row>
    <row r="36" spans="1:8" x14ac:dyDescent="0.25">
      <c r="A36" s="45"/>
      <c r="B36" s="46"/>
      <c r="C36" s="47"/>
      <c r="H36" s="32"/>
    </row>
  </sheetData>
  <sheetProtection algorithmName="SHA-512" hashValue="Q/GZvU7gGX6Y8MAsmdwK0OUEwb1Trgj5gdyH0ZJ3E+JLbT8iExqfqhzgowH99KzpytHywaNUQqNDagST8/2C2w==" saltValue="pW04DYvsIBjFqRDAyAK7/Q==" spinCount="100000" sheet="1" objects="1" scenarios="1"/>
  <mergeCells count="13">
    <mergeCell ref="A1:N1"/>
    <mergeCell ref="J17:N17"/>
    <mergeCell ref="E27:I27"/>
    <mergeCell ref="A5:A6"/>
    <mergeCell ref="B5:E5"/>
    <mergeCell ref="F5:I5"/>
    <mergeCell ref="J5:N5"/>
    <mergeCell ref="E29:I29"/>
    <mergeCell ref="E30:I30"/>
    <mergeCell ref="E31:I31"/>
    <mergeCell ref="A17:A18"/>
    <mergeCell ref="B17:E17"/>
    <mergeCell ref="F17:I17"/>
  </mergeCells>
  <pageMargins left="0.7" right="0.7" top="0.75" bottom="0.75" header="0.3" footer="0.3"/>
  <pageSetup scale="56" fitToHeight="0" orientation="landscape" r:id="rId1"/>
  <headerFooter>
    <oddHeader xml:space="preserve">&amp;L&amp;"Arial,Bold"&amp;10The United Illuminating Company
Docket No: 26-01-02
&amp;C&amp;"Arial,Bold"&amp;10CONFIDENTIAL
&amp;A&amp;R&amp;"Arial,Bold"&amp;10UI Attachment 2a
Page 5 of 12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V36"/>
  <sheetViews>
    <sheetView view="pageLayout" zoomScale="80" zoomScaleNormal="100" zoomScalePageLayoutView="80" workbookViewId="0">
      <selection activeCell="A27" sqref="A27:F27"/>
    </sheetView>
  </sheetViews>
  <sheetFormatPr defaultRowHeight="15" x14ac:dyDescent="0.25"/>
  <cols>
    <col min="1" max="1" width="21.42578125" style="35" customWidth="1"/>
    <col min="2" max="5" width="14.28515625" customWidth="1"/>
    <col min="6" max="8" width="13.42578125" customWidth="1"/>
    <col min="9" max="9" width="13.5703125" customWidth="1"/>
    <col min="10" max="12" width="17" customWidth="1"/>
    <col min="13" max="13" width="14.28515625" customWidth="1"/>
    <col min="14" max="14" width="17.5703125" customWidth="1"/>
  </cols>
  <sheetData>
    <row r="1" spans="1:14" ht="18" x14ac:dyDescent="0.25">
      <c r="A1" s="101" t="str">
        <f>'Instructions &amp; Summary'!A1</f>
        <v>CONFIDENTIAL UNTIL 10/20/2026</v>
      </c>
      <c r="B1" s="101"/>
      <c r="C1" s="101"/>
      <c r="D1" s="101"/>
      <c r="E1" s="101"/>
      <c r="F1" s="101"/>
      <c r="G1" s="101"/>
      <c r="H1" s="101"/>
      <c r="I1" s="101"/>
      <c r="J1" s="101"/>
      <c r="K1" s="101"/>
      <c r="L1" s="101"/>
      <c r="M1" s="101"/>
      <c r="N1" s="101"/>
    </row>
    <row r="3" spans="1:14" ht="15.75" x14ac:dyDescent="0.25">
      <c r="A3" s="34" t="s">
        <v>37</v>
      </c>
      <c r="B3" s="33" t="str">
        <f>VLOOKUP($A$3,'Instructions &amp; Summary'!$A$7:$B$14,2,FALSE)</f>
        <v>January 1, 2027 through June 30, 2027 - 10% of the SS TOTAL load</v>
      </c>
      <c r="C3" s="26"/>
      <c r="D3" s="26"/>
      <c r="E3" s="26"/>
      <c r="F3" s="26"/>
      <c r="G3" s="5"/>
    </row>
    <row r="4" spans="1:14" ht="15.75" x14ac:dyDescent="0.25">
      <c r="A4" s="34"/>
      <c r="B4" s="33"/>
      <c r="C4" s="26"/>
      <c r="D4" s="26"/>
      <c r="E4" s="26"/>
      <c r="F4" s="26"/>
      <c r="G4" s="5"/>
    </row>
    <row r="5" spans="1:14" x14ac:dyDescent="0.25">
      <c r="A5" s="108" t="s">
        <v>14</v>
      </c>
      <c r="B5" s="112" t="s">
        <v>50</v>
      </c>
      <c r="C5" s="112"/>
      <c r="D5" s="112"/>
      <c r="E5" s="112"/>
      <c r="F5" s="112" t="s">
        <v>51</v>
      </c>
      <c r="G5" s="112"/>
      <c r="H5" s="112"/>
      <c r="I5" s="112"/>
      <c r="J5" s="98" t="s">
        <v>52</v>
      </c>
      <c r="K5" s="99"/>
      <c r="L5" s="99"/>
      <c r="M5" s="99"/>
      <c r="N5" s="100"/>
    </row>
    <row r="6" spans="1:14" s="27" customFormat="1" ht="12.75" x14ac:dyDescent="0.2">
      <c r="A6" s="108"/>
      <c r="B6" s="38" t="s">
        <v>41</v>
      </c>
      <c r="C6" s="38" t="s">
        <v>42</v>
      </c>
      <c r="D6" s="38" t="s">
        <v>15</v>
      </c>
      <c r="E6" s="38" t="s">
        <v>43</v>
      </c>
      <c r="F6" s="38" t="s">
        <v>41</v>
      </c>
      <c r="G6" s="38" t="s">
        <v>42</v>
      </c>
      <c r="H6" s="38" t="s">
        <v>15</v>
      </c>
      <c r="I6" s="38" t="s">
        <v>43</v>
      </c>
      <c r="J6" s="38" t="s">
        <v>41</v>
      </c>
      <c r="K6" s="38" t="s">
        <v>42</v>
      </c>
      <c r="L6" s="38" t="s">
        <v>15</v>
      </c>
      <c r="M6" s="38" t="s">
        <v>43</v>
      </c>
      <c r="N6" s="44" t="s">
        <v>9</v>
      </c>
    </row>
    <row r="7" spans="1:14" s="27" customFormat="1" ht="12.75" x14ac:dyDescent="0.2">
      <c r="A7" s="36" t="str">
        <f>IF('Instructions &amp; Summary'!$E$3="1H","January","July")</f>
        <v>January</v>
      </c>
      <c r="B7" s="41">
        <f>VLOOKUP($A7,'Bidding Load'!$A$5:$E$16,MATCH(B$6,'Bidding Load'!$A$4:$E$4,0),FALSE)</f>
        <v>12910</v>
      </c>
      <c r="C7" s="41">
        <f>VLOOKUP($A7,'Bidding Load'!$A$5:$E$16,MATCH(C$6,'Bidding Load'!$A$4:$E$4,0),FALSE)</f>
        <v>1704</v>
      </c>
      <c r="D7" s="41">
        <f>VLOOKUP($A7,'Bidding Load'!$A$5:$E$16,MATCH(D$6,'Bidding Load'!$A$4:$E$4,0),FALSE)</f>
        <v>45302</v>
      </c>
      <c r="E7" s="41">
        <f>VLOOKUP($A7,'Bidding Load'!$A$5:$E$16,MATCH(E$6,'Bidding Load'!$A$4:$E$4,0),FALSE)</f>
        <v>0</v>
      </c>
      <c r="F7" s="54"/>
      <c r="G7" s="54"/>
      <c r="H7" s="54"/>
      <c r="I7" s="59" t="s">
        <v>44</v>
      </c>
      <c r="J7" s="56">
        <f t="shared" ref="J7:J12" si="0">ROUND(F7,2)*B7</f>
        <v>0</v>
      </c>
      <c r="K7" s="56">
        <f t="shared" ref="K7:L12" si="1">ROUND(G7,2)*C7</f>
        <v>0</v>
      </c>
      <c r="L7" s="56">
        <f t="shared" si="1"/>
        <v>0</v>
      </c>
      <c r="M7" s="40" t="s">
        <v>44</v>
      </c>
      <c r="N7" s="56">
        <f t="shared" ref="N7:N12" si="2">SUM(J7:L7)</f>
        <v>0</v>
      </c>
    </row>
    <row r="8" spans="1:14" s="27" customFormat="1" ht="12.75" x14ac:dyDescent="0.2">
      <c r="A8" s="36" t="str">
        <f>IF('Instructions &amp; Summary'!$E$3="1H","February","August")</f>
        <v>February</v>
      </c>
      <c r="B8" s="41">
        <f>VLOOKUP($A8,'Bidding Load'!$A$5:$E$16,MATCH(B$6,'Bidding Load'!$A$4:$E$4,0),FALSE)</f>
        <v>11351</v>
      </c>
      <c r="C8" s="41">
        <f>VLOOKUP($A8,'Bidding Load'!$A$5:$E$16,MATCH(C$6,'Bidding Load'!$A$4:$E$4,0),FALSE)</f>
        <v>1853</v>
      </c>
      <c r="D8" s="41">
        <f>VLOOKUP($A8,'Bidding Load'!$A$5:$E$16,MATCH(D$6,'Bidding Load'!$A$4:$E$4,0),FALSE)</f>
        <v>36807</v>
      </c>
      <c r="E8" s="41">
        <f>VLOOKUP($A8,'Bidding Load'!$A$5:$E$16,MATCH(E$6,'Bidding Load'!$A$4:$E$4,0),FALSE)</f>
        <v>0</v>
      </c>
      <c r="F8" s="54"/>
      <c r="G8" s="54"/>
      <c r="H8" s="54"/>
      <c r="I8" s="59" t="s">
        <v>44</v>
      </c>
      <c r="J8" s="56">
        <f t="shared" si="0"/>
        <v>0</v>
      </c>
      <c r="K8" s="56">
        <f t="shared" si="1"/>
        <v>0</v>
      </c>
      <c r="L8" s="56">
        <f t="shared" si="1"/>
        <v>0</v>
      </c>
      <c r="M8" s="40" t="s">
        <v>44</v>
      </c>
      <c r="N8" s="56">
        <f t="shared" si="2"/>
        <v>0</v>
      </c>
    </row>
    <row r="9" spans="1:14" s="27" customFormat="1" ht="12.75" x14ac:dyDescent="0.2">
      <c r="A9" s="36" t="str">
        <f>IF('Instructions &amp; Summary'!$E$3="1H","March","September")</f>
        <v>March</v>
      </c>
      <c r="B9" s="41">
        <f>VLOOKUP($A9,'Bidding Load'!$A$5:$E$16,MATCH(B$6,'Bidding Load'!$A$4:$E$4,0),FALSE)</f>
        <v>10474</v>
      </c>
      <c r="C9" s="41">
        <f>VLOOKUP($A9,'Bidding Load'!$A$5:$E$16,MATCH(C$6,'Bidding Load'!$A$4:$E$4,0),FALSE)</f>
        <v>1618</v>
      </c>
      <c r="D9" s="41">
        <f>VLOOKUP($A9,'Bidding Load'!$A$5:$E$16,MATCH(D$6,'Bidding Load'!$A$4:$E$4,0),FALSE)</f>
        <v>27827</v>
      </c>
      <c r="E9" s="41">
        <f>VLOOKUP($A9,'Bidding Load'!$A$5:$E$16,MATCH(E$6,'Bidding Load'!$A$4:$E$4,0),FALSE)</f>
        <v>0</v>
      </c>
      <c r="F9" s="54"/>
      <c r="G9" s="54"/>
      <c r="H9" s="54"/>
      <c r="I9" s="59" t="s">
        <v>44</v>
      </c>
      <c r="J9" s="56">
        <f t="shared" si="0"/>
        <v>0</v>
      </c>
      <c r="K9" s="56">
        <f t="shared" si="1"/>
        <v>0</v>
      </c>
      <c r="L9" s="56">
        <f t="shared" si="1"/>
        <v>0</v>
      </c>
      <c r="M9" s="40" t="s">
        <v>44</v>
      </c>
      <c r="N9" s="56">
        <f t="shared" si="2"/>
        <v>0</v>
      </c>
    </row>
    <row r="10" spans="1:14" s="27" customFormat="1" ht="12.75" x14ac:dyDescent="0.2">
      <c r="A10" s="36" t="str">
        <f>IF('Instructions &amp; Summary'!$E$3="1H","April","October")</f>
        <v>April</v>
      </c>
      <c r="B10" s="41">
        <f>VLOOKUP($A10,'Bidding Load'!$A$5:$E$16,MATCH(B$6,'Bidding Load'!$A$4:$E$4,0),FALSE)</f>
        <v>10208</v>
      </c>
      <c r="C10" s="41">
        <f>VLOOKUP($A10,'Bidding Load'!$A$5:$E$16,MATCH(C$6,'Bidding Load'!$A$4:$E$4,0),FALSE)</f>
        <v>1624</v>
      </c>
      <c r="D10" s="41">
        <f>VLOOKUP($A10,'Bidding Load'!$A$5:$E$16,MATCH(D$6,'Bidding Load'!$A$4:$E$4,0),FALSE)</f>
        <v>26207</v>
      </c>
      <c r="E10" s="41">
        <f>VLOOKUP($A10,'Bidding Load'!$A$5:$E$16,MATCH(E$6,'Bidding Load'!$A$4:$E$4,0),FALSE)</f>
        <v>0</v>
      </c>
      <c r="F10" s="54"/>
      <c r="G10" s="54"/>
      <c r="H10" s="54"/>
      <c r="I10" s="59" t="s">
        <v>44</v>
      </c>
      <c r="J10" s="56">
        <f t="shared" si="0"/>
        <v>0</v>
      </c>
      <c r="K10" s="56">
        <f t="shared" si="1"/>
        <v>0</v>
      </c>
      <c r="L10" s="56">
        <f t="shared" si="1"/>
        <v>0</v>
      </c>
      <c r="M10" s="40" t="s">
        <v>44</v>
      </c>
      <c r="N10" s="56">
        <f t="shared" si="2"/>
        <v>0</v>
      </c>
    </row>
    <row r="11" spans="1:14" s="27" customFormat="1" ht="12.75" x14ac:dyDescent="0.2">
      <c r="A11" s="36" t="str">
        <f>IF('Instructions &amp; Summary'!$E$3="1H","May","November")</f>
        <v>May</v>
      </c>
      <c r="B11" s="41">
        <f>VLOOKUP($A11,'Bidding Load'!$A$5:$E$16,MATCH(B$6,'Bidding Load'!$A$4:$E$4,0),FALSE)</f>
        <v>10432</v>
      </c>
      <c r="C11" s="41">
        <f>VLOOKUP($A11,'Bidding Load'!$A$5:$E$16,MATCH(C$6,'Bidding Load'!$A$4:$E$4,0),FALSE)</f>
        <v>1787</v>
      </c>
      <c r="D11" s="41">
        <f>VLOOKUP($A11,'Bidding Load'!$A$5:$E$16,MATCH(D$6,'Bidding Load'!$A$4:$E$4,0),FALSE)</f>
        <v>25041</v>
      </c>
      <c r="E11" s="41">
        <f>VLOOKUP($A11,'Bidding Load'!$A$5:$E$16,MATCH(E$6,'Bidding Load'!$A$4:$E$4,0),FALSE)</f>
        <v>0</v>
      </c>
      <c r="F11" s="54"/>
      <c r="G11" s="54"/>
      <c r="H11" s="54"/>
      <c r="I11" s="59" t="s">
        <v>44</v>
      </c>
      <c r="J11" s="56">
        <f t="shared" si="0"/>
        <v>0</v>
      </c>
      <c r="K11" s="56">
        <f t="shared" si="1"/>
        <v>0</v>
      </c>
      <c r="L11" s="56">
        <f t="shared" si="1"/>
        <v>0</v>
      </c>
      <c r="M11" s="40" t="s">
        <v>44</v>
      </c>
      <c r="N11" s="56">
        <f t="shared" si="2"/>
        <v>0</v>
      </c>
    </row>
    <row r="12" spans="1:14" s="27" customFormat="1" ht="12.75" x14ac:dyDescent="0.2">
      <c r="A12" s="36" t="str">
        <f>IF('Instructions &amp; Summary'!$E$3="1H","June","December")</f>
        <v>June</v>
      </c>
      <c r="B12" s="41">
        <f>VLOOKUP($A12,'Bidding Load'!$A$5:$E$16,MATCH(B$6,'Bidding Load'!$A$4:$E$4,0),FALSE)</f>
        <v>13255</v>
      </c>
      <c r="C12" s="41">
        <f>VLOOKUP($A12,'Bidding Load'!$A$5:$E$16,MATCH(C$6,'Bidding Load'!$A$4:$E$4,0),FALSE)</f>
        <v>1852</v>
      </c>
      <c r="D12" s="41">
        <f>VLOOKUP($A12,'Bidding Load'!$A$5:$E$16,MATCH(D$6,'Bidding Load'!$A$4:$E$4,0),FALSE)</f>
        <v>37632</v>
      </c>
      <c r="E12" s="41">
        <f>VLOOKUP($A12,'Bidding Load'!$A$5:$E$16,MATCH(E$6,'Bidding Load'!$A$4:$E$4,0),FALSE)</f>
        <v>0</v>
      </c>
      <c r="F12" s="54"/>
      <c r="G12" s="54"/>
      <c r="H12" s="54"/>
      <c r="I12" s="59" t="s">
        <v>44</v>
      </c>
      <c r="J12" s="56">
        <f t="shared" si="0"/>
        <v>0</v>
      </c>
      <c r="K12" s="56">
        <f t="shared" si="1"/>
        <v>0</v>
      </c>
      <c r="L12" s="56">
        <f t="shared" si="1"/>
        <v>0</v>
      </c>
      <c r="M12" s="40" t="s">
        <v>44</v>
      </c>
      <c r="N12" s="56">
        <f t="shared" si="2"/>
        <v>0</v>
      </c>
    </row>
    <row r="13" spans="1:14" x14ac:dyDescent="0.25">
      <c r="A13" s="39" t="s">
        <v>45</v>
      </c>
      <c r="B13" s="42">
        <f>SUM(B7:B12)</f>
        <v>68630</v>
      </c>
      <c r="C13" s="42">
        <f>SUM(C7:C12)</f>
        <v>10438</v>
      </c>
      <c r="D13" s="42">
        <f>SUM(D7:D12)</f>
        <v>198816</v>
      </c>
      <c r="E13" s="42">
        <f>SUM(E7:E12)</f>
        <v>0</v>
      </c>
      <c r="F13" s="37" t="s">
        <v>44</v>
      </c>
      <c r="G13" s="37" t="s">
        <v>44</v>
      </c>
      <c r="H13" s="37" t="s">
        <v>44</v>
      </c>
      <c r="I13" s="37" t="s">
        <v>44</v>
      </c>
      <c r="J13" s="58">
        <f>SUM(J7:J12)</f>
        <v>0</v>
      </c>
      <c r="K13" s="58">
        <f>SUM(K7:K12)</f>
        <v>0</v>
      </c>
      <c r="L13" s="58">
        <f>SUM(L7:L12)</f>
        <v>0</v>
      </c>
      <c r="M13" s="37" t="s">
        <v>44</v>
      </c>
      <c r="N13" s="58">
        <f>SUM(N7:N12)</f>
        <v>0</v>
      </c>
    </row>
    <row r="15" spans="1:14" x14ac:dyDescent="0.25">
      <c r="A15" s="39" t="s">
        <v>56</v>
      </c>
      <c r="B15" s="43">
        <f>SUM(B13:E13)</f>
        <v>277884</v>
      </c>
    </row>
    <row r="16" spans="1:14" x14ac:dyDescent="0.25">
      <c r="G16" s="5"/>
    </row>
    <row r="17" spans="1:256" x14ac:dyDescent="0.25">
      <c r="A17" s="108" t="s">
        <v>14</v>
      </c>
      <c r="B17" s="112" t="s">
        <v>53</v>
      </c>
      <c r="C17" s="112"/>
      <c r="D17" s="112"/>
      <c r="E17" s="112"/>
      <c r="F17" s="112" t="s">
        <v>54</v>
      </c>
      <c r="G17" s="112"/>
      <c r="H17" s="112"/>
      <c r="I17" s="112"/>
      <c r="J17" s="98" t="s">
        <v>55</v>
      </c>
      <c r="K17" s="99"/>
      <c r="L17" s="99"/>
      <c r="M17" s="99"/>
      <c r="N17" s="100"/>
    </row>
    <row r="18" spans="1:256" s="27" customFormat="1" ht="12.75" x14ac:dyDescent="0.2">
      <c r="A18" s="108"/>
      <c r="B18" s="38" t="s">
        <v>41</v>
      </c>
      <c r="C18" s="38" t="s">
        <v>42</v>
      </c>
      <c r="D18" s="38" t="s">
        <v>15</v>
      </c>
      <c r="E18" s="38" t="s">
        <v>43</v>
      </c>
      <c r="F18" s="38" t="s">
        <v>41</v>
      </c>
      <c r="G18" s="38" t="s">
        <v>42</v>
      </c>
      <c r="H18" s="38" t="s">
        <v>15</v>
      </c>
      <c r="I18" s="38" t="s">
        <v>43</v>
      </c>
      <c r="J18" s="38" t="s">
        <v>41</v>
      </c>
      <c r="K18" s="38" t="s">
        <v>42</v>
      </c>
      <c r="L18" s="38" t="s">
        <v>15</v>
      </c>
      <c r="M18" s="38" t="s">
        <v>43</v>
      </c>
      <c r="N18" s="44" t="s">
        <v>9</v>
      </c>
    </row>
    <row r="19" spans="1:256" s="27" customFormat="1" ht="12.75" x14ac:dyDescent="0.2">
      <c r="A19" s="36" t="str">
        <f>IF('Instructions &amp; Summary'!$E$3="1H","January","July")</f>
        <v>January</v>
      </c>
      <c r="B19" s="41">
        <f>VLOOKUP($A19,'Bidding Load'!$A$21:$E$32,MATCH(B$18,'Bidding Load'!$A$20:$E$20,0),FALSE)</f>
        <v>31535</v>
      </c>
      <c r="C19" s="41">
        <f>VLOOKUP($A19,'Bidding Load'!$A$21:$E$32,MATCH(C$18,'Bidding Load'!$A$20:$E$20,0),FALSE)</f>
        <v>5311</v>
      </c>
      <c r="D19" s="41">
        <f>VLOOKUP($A19,'Bidding Load'!$A$21:$E$32,MATCH(D$18,'Bidding Load'!$A$20:$E$20,0),FALSE)</f>
        <v>134881</v>
      </c>
      <c r="E19" s="41">
        <f>VLOOKUP($A19,'Bidding Load'!$A$21:$E$32,MATCH(E$18,'Bidding Load'!$A$20:$E$20,0),FALSE)</f>
        <v>741</v>
      </c>
      <c r="F19" s="54"/>
      <c r="G19" s="54"/>
      <c r="H19" s="54"/>
      <c r="I19" s="54"/>
      <c r="J19" s="56">
        <f t="shared" ref="J19:J24" si="3">ROUND(F19,2)*B19</f>
        <v>0</v>
      </c>
      <c r="K19" s="56">
        <f t="shared" ref="K19:M24" si="4">ROUND(G19,2)*C19</f>
        <v>0</v>
      </c>
      <c r="L19" s="56">
        <f t="shared" si="4"/>
        <v>0</v>
      </c>
      <c r="M19" s="56">
        <f t="shared" si="4"/>
        <v>0</v>
      </c>
      <c r="N19" s="56">
        <f t="shared" ref="N19:N24" si="5">SUM(J19:M19)</f>
        <v>0</v>
      </c>
    </row>
    <row r="20" spans="1:256" s="27" customFormat="1" ht="12.75" x14ac:dyDescent="0.2">
      <c r="A20" s="36" t="str">
        <f>IF('Instructions &amp; Summary'!$E$3="1H","February","August")</f>
        <v>February</v>
      </c>
      <c r="B20" s="41">
        <f>VLOOKUP($A20,'Bidding Load'!$A$21:$E$32,MATCH(B$18,'Bidding Load'!$A$20:$E$20,0),FALSE)</f>
        <v>28300</v>
      </c>
      <c r="C20" s="41">
        <f>VLOOKUP($A20,'Bidding Load'!$A$21:$E$32,MATCH(C$18,'Bidding Load'!$A$20:$E$20,0),FALSE)</f>
        <v>5425</v>
      </c>
      <c r="D20" s="41">
        <f>VLOOKUP($A20,'Bidding Load'!$A$21:$E$32,MATCH(D$18,'Bidding Load'!$A$20:$E$20,0),FALSE)</f>
        <v>117905</v>
      </c>
      <c r="E20" s="41">
        <f>VLOOKUP($A20,'Bidding Load'!$A$21:$E$32,MATCH(E$18,'Bidding Load'!$A$20:$E$20,0),FALSE)</f>
        <v>741</v>
      </c>
      <c r="F20" s="54"/>
      <c r="G20" s="54"/>
      <c r="H20" s="54"/>
      <c r="I20" s="54"/>
      <c r="J20" s="56">
        <f t="shared" si="3"/>
        <v>0</v>
      </c>
      <c r="K20" s="56">
        <f t="shared" si="4"/>
        <v>0</v>
      </c>
      <c r="L20" s="56">
        <f t="shared" si="4"/>
        <v>0</v>
      </c>
      <c r="M20" s="56">
        <f t="shared" si="4"/>
        <v>0</v>
      </c>
      <c r="N20" s="56">
        <f t="shared" si="5"/>
        <v>0</v>
      </c>
    </row>
    <row r="21" spans="1:256" s="27" customFormat="1" ht="12.75" x14ac:dyDescent="0.2">
      <c r="A21" s="36" t="str">
        <f>IF('Instructions &amp; Summary'!$E$3="1H","March","September")</f>
        <v>March</v>
      </c>
      <c r="B21" s="41">
        <f>VLOOKUP($A21,'Bidding Load'!$A$21:$E$32,MATCH(B$18,'Bidding Load'!$A$20:$E$20,0),FALSE)</f>
        <v>26204</v>
      </c>
      <c r="C21" s="41">
        <f>VLOOKUP($A21,'Bidding Load'!$A$21:$E$32,MATCH(C$18,'Bidding Load'!$A$20:$E$20,0),FALSE)</f>
        <v>4787</v>
      </c>
      <c r="D21" s="41">
        <f>VLOOKUP($A21,'Bidding Load'!$A$21:$E$32,MATCH(D$18,'Bidding Load'!$A$20:$E$20,0),FALSE)</f>
        <v>96196</v>
      </c>
      <c r="E21" s="41">
        <f>VLOOKUP($A21,'Bidding Load'!$A$21:$E$32,MATCH(E$18,'Bidding Load'!$A$20:$E$20,0),FALSE)</f>
        <v>544</v>
      </c>
      <c r="F21" s="54"/>
      <c r="G21" s="54"/>
      <c r="H21" s="54"/>
      <c r="I21" s="54"/>
      <c r="J21" s="56">
        <f t="shared" si="3"/>
        <v>0</v>
      </c>
      <c r="K21" s="56">
        <f t="shared" si="4"/>
        <v>0</v>
      </c>
      <c r="L21" s="56">
        <f t="shared" si="4"/>
        <v>0</v>
      </c>
      <c r="M21" s="56">
        <f t="shared" si="4"/>
        <v>0</v>
      </c>
      <c r="N21" s="56">
        <f t="shared" si="5"/>
        <v>0</v>
      </c>
    </row>
    <row r="22" spans="1:256" s="27" customFormat="1" ht="12.75" x14ac:dyDescent="0.2">
      <c r="A22" s="36" t="str">
        <f>IF('Instructions &amp; Summary'!$E$3="1H","April","October")</f>
        <v>April</v>
      </c>
      <c r="B22" s="41">
        <f>VLOOKUP($A22,'Bidding Load'!$A$21:$E$32,MATCH(B$18,'Bidding Load'!$A$20:$E$20,0),FALSE)</f>
        <v>24551</v>
      </c>
      <c r="C22" s="41">
        <f>VLOOKUP($A22,'Bidding Load'!$A$21:$E$32,MATCH(C$18,'Bidding Load'!$A$20:$E$20,0),FALSE)</f>
        <v>5326</v>
      </c>
      <c r="D22" s="41">
        <f>VLOOKUP($A22,'Bidding Load'!$A$21:$E$32,MATCH(D$18,'Bidding Load'!$A$20:$E$20,0),FALSE)</f>
        <v>85641</v>
      </c>
      <c r="E22" s="41">
        <f>VLOOKUP($A22,'Bidding Load'!$A$21:$E$32,MATCH(E$18,'Bidding Load'!$A$20:$E$20,0),FALSE)</f>
        <v>501</v>
      </c>
      <c r="F22" s="54"/>
      <c r="G22" s="54"/>
      <c r="H22" s="54"/>
      <c r="I22" s="54"/>
      <c r="J22" s="56">
        <f t="shared" si="3"/>
        <v>0</v>
      </c>
      <c r="K22" s="56">
        <f t="shared" si="4"/>
        <v>0</v>
      </c>
      <c r="L22" s="56">
        <f t="shared" si="4"/>
        <v>0</v>
      </c>
      <c r="M22" s="56">
        <f t="shared" si="4"/>
        <v>0</v>
      </c>
      <c r="N22" s="56">
        <f t="shared" si="5"/>
        <v>0</v>
      </c>
    </row>
    <row r="23" spans="1:256" s="27" customFormat="1" ht="12.75" x14ac:dyDescent="0.2">
      <c r="A23" s="36" t="str">
        <f>IF('Instructions &amp; Summary'!$E$3="1H","May","November")</f>
        <v>May</v>
      </c>
      <c r="B23" s="41">
        <f>VLOOKUP($A23,'Bidding Load'!$A$21:$E$32,MATCH(B$18,'Bidding Load'!$A$20:$E$20,0),FALSE)</f>
        <v>24769</v>
      </c>
      <c r="C23" s="41">
        <f>VLOOKUP($A23,'Bidding Load'!$A$21:$E$32,MATCH(C$18,'Bidding Load'!$A$20:$E$20,0),FALSE)</f>
        <v>5647</v>
      </c>
      <c r="D23" s="41">
        <f>VLOOKUP($A23,'Bidding Load'!$A$21:$E$32,MATCH(D$18,'Bidding Load'!$A$20:$E$20,0),FALSE)</f>
        <v>79724</v>
      </c>
      <c r="E23" s="41">
        <f>VLOOKUP($A23,'Bidding Load'!$A$21:$E$32,MATCH(E$18,'Bidding Load'!$A$20:$E$20,0),FALSE)</f>
        <v>490</v>
      </c>
      <c r="F23" s="54"/>
      <c r="G23" s="54"/>
      <c r="H23" s="54"/>
      <c r="I23" s="54"/>
      <c r="J23" s="56">
        <f t="shared" si="3"/>
        <v>0</v>
      </c>
      <c r="K23" s="56">
        <f t="shared" si="4"/>
        <v>0</v>
      </c>
      <c r="L23" s="56">
        <f t="shared" si="4"/>
        <v>0</v>
      </c>
      <c r="M23" s="56">
        <f t="shared" si="4"/>
        <v>0</v>
      </c>
      <c r="N23" s="56">
        <f t="shared" si="5"/>
        <v>0</v>
      </c>
    </row>
    <row r="24" spans="1:256" s="27" customFormat="1" ht="12.75" x14ac:dyDescent="0.2">
      <c r="A24" s="36" t="str">
        <f>IF('Instructions &amp; Summary'!$E$3="1H","June","December")</f>
        <v>June</v>
      </c>
      <c r="B24" s="41">
        <f>VLOOKUP($A24,'Bidding Load'!$A$21:$E$32,MATCH(B$18,'Bidding Load'!$A$20:$E$20,0),FALSE)</f>
        <v>27540</v>
      </c>
      <c r="C24" s="41">
        <f>VLOOKUP($A24,'Bidding Load'!$A$21:$E$32,MATCH(C$18,'Bidding Load'!$A$20:$E$20,0),FALSE)</f>
        <v>5530</v>
      </c>
      <c r="D24" s="41">
        <f>VLOOKUP($A24,'Bidding Load'!$A$21:$E$32,MATCH(D$18,'Bidding Load'!$A$20:$E$20,0),FALSE)</f>
        <v>101553</v>
      </c>
      <c r="E24" s="41">
        <f>VLOOKUP($A24,'Bidding Load'!$A$21:$E$32,MATCH(E$18,'Bidding Load'!$A$20:$E$20,0),FALSE)</f>
        <v>415</v>
      </c>
      <c r="F24" s="54"/>
      <c r="G24" s="54"/>
      <c r="H24" s="54"/>
      <c r="I24" s="54"/>
      <c r="J24" s="56">
        <f t="shared" si="3"/>
        <v>0</v>
      </c>
      <c r="K24" s="56">
        <f t="shared" si="4"/>
        <v>0</v>
      </c>
      <c r="L24" s="56">
        <f t="shared" si="4"/>
        <v>0</v>
      </c>
      <c r="M24" s="56">
        <f t="shared" si="4"/>
        <v>0</v>
      </c>
      <c r="N24" s="56">
        <f t="shared" si="5"/>
        <v>0</v>
      </c>
    </row>
    <row r="25" spans="1:256" x14ac:dyDescent="0.25">
      <c r="A25" s="39" t="s">
        <v>45</v>
      </c>
      <c r="B25" s="42">
        <f>SUM(B19:B24)</f>
        <v>162899</v>
      </c>
      <c r="C25" s="42">
        <f>SUM(C19:C24)</f>
        <v>32026</v>
      </c>
      <c r="D25" s="42">
        <f>SUM(D19:D24)</f>
        <v>615900</v>
      </c>
      <c r="E25" s="42">
        <f>SUM(E19:E24)</f>
        <v>3432</v>
      </c>
      <c r="F25" s="37" t="s">
        <v>44</v>
      </c>
      <c r="G25" s="37" t="s">
        <v>44</v>
      </c>
      <c r="H25" s="37" t="s">
        <v>44</v>
      </c>
      <c r="I25" s="37" t="s">
        <v>44</v>
      </c>
      <c r="J25" s="58">
        <f>SUM(J19:J24)</f>
        <v>0</v>
      </c>
      <c r="K25" s="58">
        <f>SUM(K19:K24)</f>
        <v>0</v>
      </c>
      <c r="L25" s="58">
        <f>SUM(L19:L24)</f>
        <v>0</v>
      </c>
      <c r="M25" s="58">
        <f>SUM(M19:M24)</f>
        <v>0</v>
      </c>
      <c r="N25" s="58">
        <f>SUM(N19:N24)</f>
        <v>0</v>
      </c>
      <c r="O25" s="28"/>
      <c r="P25" s="29"/>
      <c r="Q25" s="29"/>
      <c r="R25" s="29"/>
      <c r="S25" s="29"/>
      <c r="T25" s="28"/>
      <c r="U25" s="3"/>
      <c r="V25" s="3"/>
      <c r="W25" s="3"/>
      <c r="X25" s="30"/>
      <c r="Y25" s="30"/>
      <c r="Z25" s="30"/>
      <c r="AA25" s="31"/>
      <c r="AB25" s="30"/>
      <c r="AC25" s="28"/>
      <c r="AD25" s="29"/>
      <c r="AE25" s="29"/>
      <c r="AF25" s="29"/>
      <c r="AG25" s="29"/>
      <c r="AH25" s="28"/>
      <c r="AI25" s="3"/>
      <c r="AJ25" s="3"/>
      <c r="AK25" s="3"/>
      <c r="AL25" s="30"/>
      <c r="AM25" s="30"/>
      <c r="AN25" s="30"/>
      <c r="AO25" s="31"/>
      <c r="AP25" s="30"/>
      <c r="AQ25" s="28"/>
      <c r="AR25" s="29"/>
      <c r="AS25" s="29"/>
      <c r="AT25" s="29"/>
      <c r="AU25" s="29"/>
      <c r="AV25" s="28"/>
      <c r="AW25" s="3"/>
      <c r="AX25" s="3"/>
      <c r="AY25" s="3"/>
      <c r="AZ25" s="30"/>
      <c r="BA25" s="30"/>
      <c r="BB25" s="30"/>
      <c r="BC25" s="31"/>
      <c r="BD25" s="30"/>
      <c r="BE25" s="28"/>
      <c r="BF25" s="29"/>
      <c r="BG25" s="29"/>
      <c r="BH25" s="29"/>
      <c r="BI25" s="29"/>
      <c r="BJ25" s="28"/>
      <c r="BK25" s="3"/>
      <c r="BL25" s="3"/>
      <c r="BM25" s="3"/>
      <c r="BN25" s="30"/>
      <c r="BO25" s="30"/>
      <c r="BP25" s="30"/>
      <c r="BQ25" s="31"/>
      <c r="BR25" s="30"/>
      <c r="BS25" s="28"/>
      <c r="BT25" s="29"/>
      <c r="BU25" s="29"/>
      <c r="BV25" s="29"/>
      <c r="BW25" s="29"/>
      <c r="BX25" s="28"/>
      <c r="BY25" s="3"/>
      <c r="BZ25" s="3"/>
      <c r="CA25" s="3"/>
      <c r="CB25" s="30"/>
      <c r="CC25" s="30"/>
      <c r="CD25" s="30"/>
      <c r="CE25" s="31"/>
      <c r="CF25" s="30"/>
      <c r="CG25" s="28"/>
      <c r="CH25" s="29"/>
      <c r="CI25" s="29"/>
      <c r="CJ25" s="29"/>
      <c r="CK25" s="29"/>
      <c r="CL25" s="28"/>
      <c r="CM25" s="3"/>
      <c r="CN25" s="3"/>
      <c r="CO25" s="3"/>
      <c r="CP25" s="30"/>
      <c r="CQ25" s="30"/>
      <c r="CR25" s="30"/>
      <c r="CS25" s="31"/>
      <c r="CT25" s="30"/>
      <c r="CU25" s="28"/>
      <c r="CV25" s="29"/>
      <c r="CW25" s="29"/>
      <c r="CX25" s="29"/>
      <c r="CY25" s="29"/>
      <c r="CZ25" s="28"/>
      <c r="DA25" s="3"/>
      <c r="DB25" s="3"/>
      <c r="DC25" s="3"/>
      <c r="DD25" s="30"/>
      <c r="DE25" s="30"/>
      <c r="DF25" s="30"/>
      <c r="DG25" s="31"/>
      <c r="DH25" s="30"/>
      <c r="DI25" s="28"/>
      <c r="DJ25" s="29"/>
      <c r="DK25" s="29"/>
      <c r="DL25" s="29"/>
      <c r="DM25" s="29"/>
      <c r="DN25" s="28"/>
      <c r="DO25" s="3"/>
      <c r="DP25" s="3"/>
      <c r="DQ25" s="3"/>
      <c r="DR25" s="30"/>
      <c r="DS25" s="30"/>
      <c r="DT25" s="30"/>
      <c r="DU25" s="31"/>
      <c r="DV25" s="30"/>
      <c r="DW25" s="28"/>
      <c r="DX25" s="29"/>
      <c r="DY25" s="29"/>
      <c r="DZ25" s="29"/>
      <c r="EA25" s="29"/>
      <c r="EB25" s="28"/>
      <c r="EC25" s="3"/>
      <c r="ED25" s="3"/>
      <c r="EE25" s="3"/>
      <c r="EF25" s="30"/>
      <c r="EG25" s="30"/>
      <c r="EH25" s="30"/>
      <c r="EI25" s="31"/>
      <c r="EJ25" s="30"/>
      <c r="EK25" s="28"/>
      <c r="EL25" s="29"/>
      <c r="EM25" s="29"/>
      <c r="EN25" s="29"/>
      <c r="EO25" s="29"/>
      <c r="EP25" s="28"/>
      <c r="EQ25" s="3"/>
      <c r="ER25" s="3"/>
      <c r="ES25" s="3"/>
      <c r="ET25" s="30"/>
      <c r="EU25" s="30"/>
      <c r="EV25" s="30"/>
      <c r="EW25" s="31"/>
      <c r="EX25" s="30"/>
      <c r="EY25" s="28"/>
      <c r="EZ25" s="29"/>
      <c r="FA25" s="29"/>
      <c r="FB25" s="29"/>
      <c r="FC25" s="29"/>
      <c r="FD25" s="28"/>
      <c r="FE25" s="3"/>
      <c r="FF25" s="3"/>
      <c r="FG25" s="3"/>
      <c r="FH25" s="30"/>
      <c r="FI25" s="30"/>
      <c r="FJ25" s="30"/>
      <c r="FK25" s="31"/>
      <c r="FL25" s="30"/>
      <c r="FM25" s="28"/>
      <c r="FN25" s="29"/>
      <c r="FO25" s="29"/>
      <c r="FP25" s="29"/>
      <c r="FQ25" s="29"/>
      <c r="FR25" s="28"/>
      <c r="FS25" s="3"/>
      <c r="FT25" s="3"/>
      <c r="FU25" s="3"/>
      <c r="FV25" s="30"/>
      <c r="FW25" s="30"/>
      <c r="FX25" s="30"/>
      <c r="FY25" s="31"/>
      <c r="FZ25" s="30"/>
      <c r="GA25" s="28"/>
      <c r="GB25" s="29"/>
      <c r="GC25" s="29"/>
      <c r="GD25" s="29"/>
      <c r="GE25" s="29"/>
      <c r="GF25" s="28"/>
      <c r="GG25" s="3"/>
      <c r="GH25" s="3"/>
      <c r="GI25" s="3"/>
      <c r="GJ25" s="30"/>
      <c r="GK25" s="30"/>
      <c r="GL25" s="30"/>
      <c r="GM25" s="31"/>
      <c r="GN25" s="30"/>
      <c r="GO25" s="28"/>
      <c r="GP25" s="29"/>
      <c r="GQ25" s="29"/>
      <c r="GR25" s="29"/>
      <c r="GS25" s="29"/>
      <c r="GT25" s="28"/>
      <c r="GU25" s="3"/>
      <c r="GV25" s="3"/>
      <c r="GW25" s="3"/>
      <c r="GX25" s="30"/>
      <c r="GY25" s="30"/>
      <c r="GZ25" s="30"/>
      <c r="HA25" s="31"/>
      <c r="HB25" s="30"/>
      <c r="HC25" s="28"/>
      <c r="HD25" s="29"/>
      <c r="HE25" s="29"/>
      <c r="HF25" s="29"/>
      <c r="HG25" s="29"/>
      <c r="HH25" s="28"/>
      <c r="HI25" s="3"/>
      <c r="HJ25" s="3"/>
      <c r="HK25" s="3"/>
      <c r="HL25" s="30"/>
      <c r="HM25" s="30"/>
      <c r="HN25" s="30"/>
      <c r="HO25" s="31"/>
      <c r="HP25" s="30"/>
      <c r="HQ25" s="28"/>
      <c r="HR25" s="29"/>
      <c r="HS25" s="29"/>
      <c r="HT25" s="29"/>
      <c r="HU25" s="29"/>
      <c r="HV25" s="28"/>
      <c r="HW25" s="3"/>
      <c r="HX25" s="3"/>
      <c r="HY25" s="3"/>
      <c r="HZ25" s="30"/>
      <c r="IA25" s="30"/>
      <c r="IB25" s="30"/>
      <c r="IC25" s="31"/>
      <c r="ID25" s="30"/>
      <c r="IE25" s="28"/>
      <c r="IF25" s="29"/>
      <c r="IG25" s="29"/>
      <c r="IH25" s="29"/>
      <c r="II25" s="29"/>
      <c r="IJ25" s="28"/>
      <c r="IK25" s="3"/>
      <c r="IL25" s="3"/>
      <c r="IM25" s="3"/>
      <c r="IN25" s="30"/>
      <c r="IO25" s="30"/>
      <c r="IP25" s="30"/>
      <c r="IQ25" s="31"/>
      <c r="IR25" s="30"/>
      <c r="IS25" s="28"/>
      <c r="IT25" s="29"/>
      <c r="IU25" s="29"/>
      <c r="IV25" s="29"/>
    </row>
    <row r="27" spans="1:256" x14ac:dyDescent="0.25">
      <c r="A27" s="39" t="s">
        <v>57</v>
      </c>
      <c r="B27" s="43">
        <f>SUM(B25:E25)</f>
        <v>814257</v>
      </c>
      <c r="E27" s="102" t="s">
        <v>47</v>
      </c>
      <c r="F27" s="103"/>
      <c r="G27" s="103"/>
      <c r="H27" s="103"/>
      <c r="I27" s="104"/>
    </row>
    <row r="28" spans="1:256" x14ac:dyDescent="0.25">
      <c r="E28" s="50"/>
      <c r="F28" s="51"/>
      <c r="G28" s="52"/>
      <c r="H28" s="52"/>
      <c r="I28" s="53"/>
    </row>
    <row r="29" spans="1:256" x14ac:dyDescent="0.25">
      <c r="A29" s="48" t="s">
        <v>61</v>
      </c>
      <c r="B29" s="43">
        <f>B15+B27</f>
        <v>1092141</v>
      </c>
      <c r="E29" s="109" t="str">
        <f>'Instructions &amp; Summary'!$A$18</f>
        <v>SAMPLE - Bidder "X"- NOT TO BE USED FOR BID SUBMITTAL</v>
      </c>
      <c r="F29" s="110"/>
      <c r="G29" s="110"/>
      <c r="H29" s="110"/>
      <c r="I29" s="111"/>
    </row>
    <row r="30" spans="1:256" x14ac:dyDescent="0.25">
      <c r="E30" s="109" t="str">
        <f>'Instructions &amp; Summary'!$A$19</f>
        <v>Bidder "X"</v>
      </c>
      <c r="F30" s="110"/>
      <c r="G30" s="110"/>
      <c r="H30" s="110"/>
      <c r="I30" s="111"/>
    </row>
    <row r="31" spans="1:256" ht="12.75" customHeight="1" x14ac:dyDescent="0.25">
      <c r="A31" s="48" t="str">
        <f>A3</f>
        <v>UI SS Tranche 4</v>
      </c>
      <c r="B31" s="38" t="s">
        <v>62</v>
      </c>
      <c r="C31" s="38" t="s">
        <v>46</v>
      </c>
      <c r="E31" s="105" t="str">
        <f>B3</f>
        <v>January 1, 2027 through June 30, 2027 - 10% of the SS TOTAL load</v>
      </c>
      <c r="F31" s="113"/>
      <c r="G31" s="113"/>
      <c r="H31" s="113"/>
      <c r="I31" s="114"/>
    </row>
    <row r="32" spans="1:256" ht="12.75" customHeight="1" x14ac:dyDescent="0.25">
      <c r="A32" s="49" t="s">
        <v>58</v>
      </c>
      <c r="B32" s="61">
        <f>N13</f>
        <v>0</v>
      </c>
      <c r="C32" s="62">
        <f>ROUND(B32/B15,2)</f>
        <v>0</v>
      </c>
    </row>
    <row r="33" spans="1:8" ht="12.75" customHeight="1" x14ac:dyDescent="0.25">
      <c r="A33" s="49" t="s">
        <v>59</v>
      </c>
      <c r="B33" s="61">
        <f>N25</f>
        <v>0</v>
      </c>
      <c r="C33" s="62">
        <f>ROUND(B33/B27,2)</f>
        <v>0</v>
      </c>
      <c r="D33" s="7"/>
    </row>
    <row r="34" spans="1:8" ht="12.75" customHeight="1" x14ac:dyDescent="0.25">
      <c r="A34" s="55" t="s">
        <v>60</v>
      </c>
      <c r="B34" s="63">
        <f>SUM(B32:B33)</f>
        <v>0</v>
      </c>
      <c r="C34" s="64">
        <f>ROUND(B34/B29,2)</f>
        <v>0</v>
      </c>
    </row>
    <row r="35" spans="1:8" ht="30" customHeight="1" x14ac:dyDescent="0.25">
      <c r="A35" s="45"/>
      <c r="B35" s="46"/>
      <c r="C35" s="47"/>
    </row>
    <row r="36" spans="1:8" x14ac:dyDescent="0.25">
      <c r="A36" s="45"/>
      <c r="B36" s="46"/>
      <c r="C36" s="47"/>
      <c r="H36" s="32"/>
    </row>
  </sheetData>
  <sheetProtection algorithmName="SHA-512" hashValue="VEWlNnFo9eHbvKwpDgV/ZfnlnVJza1n+VYI7dV2QRUVGCvWly87Cvprh81JuJX3kdctpS1bojvpVawfpej+mHw==" saltValue="Till6irO6TE9VFZjhwPqmQ==" spinCount="100000" sheet="1" objects="1" scenarios="1"/>
  <mergeCells count="13">
    <mergeCell ref="A1:N1"/>
    <mergeCell ref="J17:N17"/>
    <mergeCell ref="E27:I27"/>
    <mergeCell ref="A5:A6"/>
    <mergeCell ref="B5:E5"/>
    <mergeCell ref="F5:I5"/>
    <mergeCell ref="J5:N5"/>
    <mergeCell ref="E29:I29"/>
    <mergeCell ref="E30:I30"/>
    <mergeCell ref="E31:I31"/>
    <mergeCell ref="A17:A18"/>
    <mergeCell ref="B17:E17"/>
    <mergeCell ref="F17:I17"/>
  </mergeCells>
  <pageMargins left="0.7" right="0.7" top="0.75" bottom="0.75" header="0.3" footer="0.3"/>
  <pageSetup scale="56" fitToHeight="0" orientation="landscape" r:id="rId1"/>
  <headerFooter>
    <oddHeader xml:space="preserve">&amp;L&amp;"Arial,Bold"&amp;10The United Illuminating Company
Docket No: 26-01-02
&amp;C&amp;"Arial,Bold"&amp;10CONFIDENTIAL
&amp;A&amp;R&amp;"Arial,Bold"&amp;10UI Attachment 2a
Page 6 of 12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V36"/>
  <sheetViews>
    <sheetView view="pageLayout" zoomScale="80" zoomScaleNormal="100" zoomScalePageLayoutView="80" workbookViewId="0">
      <selection activeCell="A27" sqref="A27:F27"/>
    </sheetView>
  </sheetViews>
  <sheetFormatPr defaultRowHeight="15" x14ac:dyDescent="0.25"/>
  <cols>
    <col min="1" max="1" width="21.42578125" style="35" customWidth="1"/>
    <col min="2" max="5" width="14.28515625" customWidth="1"/>
    <col min="6" max="8" width="13.42578125" customWidth="1"/>
    <col min="9" max="9" width="14" customWidth="1"/>
    <col min="10" max="12" width="17" customWidth="1"/>
    <col min="13" max="13" width="14.28515625" customWidth="1"/>
    <col min="14" max="14" width="17.5703125" customWidth="1"/>
  </cols>
  <sheetData>
    <row r="1" spans="1:14" ht="18" x14ac:dyDescent="0.25">
      <c r="A1" s="101" t="str">
        <f>'Instructions &amp; Summary'!A1</f>
        <v>CONFIDENTIAL UNTIL 10/20/2026</v>
      </c>
      <c r="B1" s="101"/>
      <c r="C1" s="101"/>
      <c r="D1" s="101"/>
      <c r="E1" s="101"/>
      <c r="F1" s="101"/>
      <c r="G1" s="101"/>
      <c r="H1" s="101"/>
      <c r="I1" s="101"/>
      <c r="J1" s="101"/>
      <c r="K1" s="101"/>
      <c r="L1" s="101"/>
      <c r="M1" s="101"/>
      <c r="N1" s="101"/>
    </row>
    <row r="3" spans="1:14" ht="15.75" x14ac:dyDescent="0.25">
      <c r="A3" s="34" t="s">
        <v>6</v>
      </c>
      <c r="B3" s="33" t="str">
        <f>VLOOKUP($A$3,'Instructions &amp; Summary'!$A$7:$B$14,2,FALSE)</f>
        <v>July 1, 2027 through December 31, 2027 - 10% of the SS TOTAL load</v>
      </c>
      <c r="C3" s="26"/>
      <c r="D3" s="26"/>
      <c r="E3" s="26"/>
      <c r="F3" s="26"/>
      <c r="G3" s="5"/>
    </row>
    <row r="4" spans="1:14" ht="15.75" x14ac:dyDescent="0.25">
      <c r="A4" s="34"/>
      <c r="B4" s="33"/>
      <c r="C4" s="26"/>
      <c r="D4" s="26"/>
      <c r="E4" s="26"/>
      <c r="F4" s="26"/>
      <c r="G4" s="5"/>
    </row>
    <row r="5" spans="1:14" x14ac:dyDescent="0.25">
      <c r="A5" s="108" t="s">
        <v>14</v>
      </c>
      <c r="B5" s="112" t="s">
        <v>50</v>
      </c>
      <c r="C5" s="112"/>
      <c r="D5" s="112"/>
      <c r="E5" s="112"/>
      <c r="F5" s="112" t="s">
        <v>51</v>
      </c>
      <c r="G5" s="112"/>
      <c r="H5" s="112"/>
      <c r="I5" s="112"/>
      <c r="J5" s="98" t="s">
        <v>52</v>
      </c>
      <c r="K5" s="99"/>
      <c r="L5" s="99"/>
      <c r="M5" s="99"/>
      <c r="N5" s="100"/>
    </row>
    <row r="6" spans="1:14" s="27" customFormat="1" ht="12.75" x14ac:dyDescent="0.2">
      <c r="A6" s="108"/>
      <c r="B6" s="38" t="s">
        <v>41</v>
      </c>
      <c r="C6" s="38" t="s">
        <v>42</v>
      </c>
      <c r="D6" s="38" t="s">
        <v>15</v>
      </c>
      <c r="E6" s="38" t="s">
        <v>43</v>
      </c>
      <c r="F6" s="38" t="s">
        <v>41</v>
      </c>
      <c r="G6" s="38" t="s">
        <v>42</v>
      </c>
      <c r="H6" s="38" t="s">
        <v>15</v>
      </c>
      <c r="I6" s="38" t="s">
        <v>43</v>
      </c>
      <c r="J6" s="38" t="s">
        <v>41</v>
      </c>
      <c r="K6" s="38" t="s">
        <v>42</v>
      </c>
      <c r="L6" s="38" t="s">
        <v>15</v>
      </c>
      <c r="M6" s="38" t="s">
        <v>43</v>
      </c>
      <c r="N6" s="44" t="s">
        <v>9</v>
      </c>
    </row>
    <row r="7" spans="1:14" s="27" customFormat="1" ht="12.75" x14ac:dyDescent="0.2">
      <c r="A7" s="36" t="str">
        <f>IF('Instructions &amp; Summary'!$E$4="1H","January","July")</f>
        <v>July</v>
      </c>
      <c r="B7" s="41">
        <f>VLOOKUP($A7,'Bidding Load'!$A$5:$E$16,MATCH(B$6,'Bidding Load'!$A$4:$E$4,0),FALSE)</f>
        <v>17019</v>
      </c>
      <c r="C7" s="41">
        <f>VLOOKUP($A7,'Bidding Load'!$A$5:$E$16,MATCH(C$6,'Bidding Load'!$A$4:$E$4,0),FALSE)</f>
        <v>2387</v>
      </c>
      <c r="D7" s="41">
        <f>VLOOKUP($A7,'Bidding Load'!$A$5:$E$16,MATCH(D$6,'Bidding Load'!$A$4:$E$4,0),FALSE)</f>
        <v>63150</v>
      </c>
      <c r="E7" s="41">
        <f>VLOOKUP($A7,'Bidding Load'!$A$5:$E$16,MATCH(E$6,'Bidding Load'!$A$4:$E$4,0),FALSE)</f>
        <v>0</v>
      </c>
      <c r="F7" s="54"/>
      <c r="G7" s="54"/>
      <c r="H7" s="54"/>
      <c r="I7" s="59" t="s">
        <v>44</v>
      </c>
      <c r="J7" s="56">
        <f t="shared" ref="J7:J12" si="0">ROUND(F7,2)*B7</f>
        <v>0</v>
      </c>
      <c r="K7" s="56">
        <f t="shared" ref="K7:L12" si="1">ROUND(G7,2)*C7</f>
        <v>0</v>
      </c>
      <c r="L7" s="56">
        <f t="shared" si="1"/>
        <v>0</v>
      </c>
      <c r="M7" s="40" t="s">
        <v>44</v>
      </c>
      <c r="N7" s="56">
        <f t="shared" ref="N7:N12" si="2">SUM(J7:L7)</f>
        <v>0</v>
      </c>
    </row>
    <row r="8" spans="1:14" s="27" customFormat="1" ht="12.75" x14ac:dyDescent="0.2">
      <c r="A8" s="36" t="str">
        <f>IF('Instructions &amp; Summary'!$E$4="1H","February","August")</f>
        <v>August</v>
      </c>
      <c r="B8" s="41">
        <f>VLOOKUP($A8,'Bidding Load'!$A$5:$E$16,MATCH(B$6,'Bidding Load'!$A$4:$E$4,0),FALSE)</f>
        <v>13107</v>
      </c>
      <c r="C8" s="41">
        <f>VLOOKUP($A8,'Bidding Load'!$A$5:$E$16,MATCH(C$6,'Bidding Load'!$A$4:$E$4,0),FALSE)</f>
        <v>1943</v>
      </c>
      <c r="D8" s="41">
        <f>VLOOKUP($A8,'Bidding Load'!$A$5:$E$16,MATCH(D$6,'Bidding Load'!$A$4:$E$4,0),FALSE)</f>
        <v>45464</v>
      </c>
      <c r="E8" s="41">
        <f>VLOOKUP($A8,'Bidding Load'!$A$5:$E$16,MATCH(E$6,'Bidding Load'!$A$4:$E$4,0),FALSE)</f>
        <v>0</v>
      </c>
      <c r="F8" s="54"/>
      <c r="G8" s="54"/>
      <c r="H8" s="54"/>
      <c r="I8" s="59" t="s">
        <v>44</v>
      </c>
      <c r="J8" s="56">
        <f t="shared" si="0"/>
        <v>0</v>
      </c>
      <c r="K8" s="56">
        <f t="shared" si="1"/>
        <v>0</v>
      </c>
      <c r="L8" s="56">
        <f t="shared" si="1"/>
        <v>0</v>
      </c>
      <c r="M8" s="40" t="s">
        <v>44</v>
      </c>
      <c r="N8" s="56">
        <f t="shared" si="2"/>
        <v>0</v>
      </c>
    </row>
    <row r="9" spans="1:14" s="27" customFormat="1" ht="12.75" x14ac:dyDescent="0.2">
      <c r="A9" s="36" t="str">
        <f>IF('Instructions &amp; Summary'!$E$4="1H","March","September")</f>
        <v>September</v>
      </c>
      <c r="B9" s="41">
        <f>VLOOKUP($A9,'Bidding Load'!$A$5:$E$16,MATCH(B$6,'Bidding Load'!$A$4:$E$4,0),FALSE)</f>
        <v>12516</v>
      </c>
      <c r="C9" s="41">
        <f>VLOOKUP($A9,'Bidding Load'!$A$5:$E$16,MATCH(C$6,'Bidding Load'!$A$4:$E$4,0),FALSE)</f>
        <v>1886</v>
      </c>
      <c r="D9" s="41">
        <f>VLOOKUP($A9,'Bidding Load'!$A$5:$E$16,MATCH(D$6,'Bidding Load'!$A$4:$E$4,0),FALSE)</f>
        <v>35046</v>
      </c>
      <c r="E9" s="41">
        <f>VLOOKUP($A9,'Bidding Load'!$A$5:$E$16,MATCH(E$6,'Bidding Load'!$A$4:$E$4,0),FALSE)</f>
        <v>0</v>
      </c>
      <c r="F9" s="54"/>
      <c r="G9" s="54"/>
      <c r="H9" s="54"/>
      <c r="I9" s="59" t="s">
        <v>44</v>
      </c>
      <c r="J9" s="56">
        <f t="shared" si="0"/>
        <v>0</v>
      </c>
      <c r="K9" s="56">
        <f t="shared" si="1"/>
        <v>0</v>
      </c>
      <c r="L9" s="56">
        <f t="shared" si="1"/>
        <v>0</v>
      </c>
      <c r="M9" s="40" t="s">
        <v>44</v>
      </c>
      <c r="N9" s="56">
        <f t="shared" si="2"/>
        <v>0</v>
      </c>
    </row>
    <row r="10" spans="1:14" s="27" customFormat="1" ht="12.75" x14ac:dyDescent="0.2">
      <c r="A10" s="36" t="str">
        <f>IF('Instructions &amp; Summary'!$E$4="1H","April","October")</f>
        <v>October</v>
      </c>
      <c r="B10" s="41">
        <f>VLOOKUP($A10,'Bidding Load'!$A$5:$E$16,MATCH(B$6,'Bidding Load'!$A$4:$E$4,0),FALSE)</f>
        <v>11946</v>
      </c>
      <c r="C10" s="41">
        <f>VLOOKUP($A10,'Bidding Load'!$A$5:$E$16,MATCH(C$6,'Bidding Load'!$A$4:$E$4,0),FALSE)</f>
        <v>2027</v>
      </c>
      <c r="D10" s="41">
        <f>VLOOKUP($A10,'Bidding Load'!$A$5:$E$16,MATCH(D$6,'Bidding Load'!$A$4:$E$4,0),FALSE)</f>
        <v>26925</v>
      </c>
      <c r="E10" s="41">
        <f>VLOOKUP($A10,'Bidding Load'!$A$5:$E$16,MATCH(E$6,'Bidding Load'!$A$4:$E$4,0),FALSE)</f>
        <v>0</v>
      </c>
      <c r="F10" s="54"/>
      <c r="G10" s="54"/>
      <c r="H10" s="54"/>
      <c r="I10" s="59" t="s">
        <v>44</v>
      </c>
      <c r="J10" s="56">
        <f t="shared" si="0"/>
        <v>0</v>
      </c>
      <c r="K10" s="56">
        <f t="shared" si="1"/>
        <v>0</v>
      </c>
      <c r="L10" s="56">
        <f t="shared" si="1"/>
        <v>0</v>
      </c>
      <c r="M10" s="40" t="s">
        <v>44</v>
      </c>
      <c r="N10" s="56">
        <f t="shared" si="2"/>
        <v>0</v>
      </c>
    </row>
    <row r="11" spans="1:14" s="27" customFormat="1" ht="12.75" x14ac:dyDescent="0.2">
      <c r="A11" s="36" t="str">
        <f>IF('Instructions &amp; Summary'!$E$4="1H","May","November")</f>
        <v>November</v>
      </c>
      <c r="B11" s="41">
        <f>VLOOKUP($A11,'Bidding Load'!$A$5:$E$16,MATCH(B$6,'Bidding Load'!$A$4:$E$4,0),FALSE)</f>
        <v>10527</v>
      </c>
      <c r="C11" s="41">
        <f>VLOOKUP($A11,'Bidding Load'!$A$5:$E$16,MATCH(C$6,'Bidding Load'!$A$4:$E$4,0),FALSE)</f>
        <v>1853</v>
      </c>
      <c r="D11" s="41">
        <f>VLOOKUP($A11,'Bidding Load'!$A$5:$E$16,MATCH(D$6,'Bidding Load'!$A$4:$E$4,0),FALSE)</f>
        <v>28447</v>
      </c>
      <c r="E11" s="41">
        <f>VLOOKUP($A11,'Bidding Load'!$A$5:$E$16,MATCH(E$6,'Bidding Load'!$A$4:$E$4,0),FALSE)</f>
        <v>0</v>
      </c>
      <c r="F11" s="54"/>
      <c r="G11" s="54"/>
      <c r="H11" s="54"/>
      <c r="I11" s="59" t="s">
        <v>44</v>
      </c>
      <c r="J11" s="56">
        <f t="shared" si="0"/>
        <v>0</v>
      </c>
      <c r="K11" s="56">
        <f t="shared" si="1"/>
        <v>0</v>
      </c>
      <c r="L11" s="56">
        <f t="shared" si="1"/>
        <v>0</v>
      </c>
      <c r="M11" s="40" t="s">
        <v>44</v>
      </c>
      <c r="N11" s="56">
        <f t="shared" si="2"/>
        <v>0</v>
      </c>
    </row>
    <row r="12" spans="1:14" s="27" customFormat="1" ht="12.75" x14ac:dyDescent="0.2">
      <c r="A12" s="36" t="str">
        <f>IF('Instructions &amp; Summary'!$E$4="1H","June","December")</f>
        <v>December</v>
      </c>
      <c r="B12" s="41">
        <f>VLOOKUP($A12,'Bidding Load'!$A$5:$E$16,MATCH(B$6,'Bidding Load'!$A$4:$E$4,0),FALSE)</f>
        <v>12418</v>
      </c>
      <c r="C12" s="41">
        <f>VLOOKUP($A12,'Bidding Load'!$A$5:$E$16,MATCH(C$6,'Bidding Load'!$A$4:$E$4,0),FALSE)</f>
        <v>1850</v>
      </c>
      <c r="D12" s="41">
        <f>VLOOKUP($A12,'Bidding Load'!$A$5:$E$16,MATCH(D$6,'Bidding Load'!$A$4:$E$4,0),FALSE)</f>
        <v>43306</v>
      </c>
      <c r="E12" s="41">
        <f>VLOOKUP($A12,'Bidding Load'!$A$5:$E$16,MATCH(E$6,'Bidding Load'!$A$4:$E$4,0),FALSE)</f>
        <v>0</v>
      </c>
      <c r="F12" s="54"/>
      <c r="G12" s="54"/>
      <c r="H12" s="54"/>
      <c r="I12" s="59" t="s">
        <v>44</v>
      </c>
      <c r="J12" s="56">
        <f t="shared" si="0"/>
        <v>0</v>
      </c>
      <c r="K12" s="56">
        <f t="shared" si="1"/>
        <v>0</v>
      </c>
      <c r="L12" s="56">
        <f t="shared" si="1"/>
        <v>0</v>
      </c>
      <c r="M12" s="40" t="s">
        <v>44</v>
      </c>
      <c r="N12" s="56">
        <f t="shared" si="2"/>
        <v>0</v>
      </c>
    </row>
    <row r="13" spans="1:14" x14ac:dyDescent="0.25">
      <c r="A13" s="39" t="s">
        <v>45</v>
      </c>
      <c r="B13" s="42">
        <f>SUM(B7:B12)</f>
        <v>77533</v>
      </c>
      <c r="C13" s="42">
        <f>SUM(C7:C12)</f>
        <v>11946</v>
      </c>
      <c r="D13" s="42">
        <f>SUM(D7:D12)</f>
        <v>242338</v>
      </c>
      <c r="E13" s="42">
        <f>SUM(E7:E12)</f>
        <v>0</v>
      </c>
      <c r="F13" s="37" t="s">
        <v>44</v>
      </c>
      <c r="G13" s="37" t="s">
        <v>44</v>
      </c>
      <c r="H13" s="37" t="s">
        <v>44</v>
      </c>
      <c r="I13" s="37" t="s">
        <v>44</v>
      </c>
      <c r="J13" s="58">
        <f>SUM(J7:J12)</f>
        <v>0</v>
      </c>
      <c r="K13" s="58">
        <f>SUM(K7:K12)</f>
        <v>0</v>
      </c>
      <c r="L13" s="58">
        <f>SUM(L7:L12)</f>
        <v>0</v>
      </c>
      <c r="M13" s="37" t="s">
        <v>44</v>
      </c>
      <c r="N13" s="58">
        <f>SUM(N7:N12)</f>
        <v>0</v>
      </c>
    </row>
    <row r="15" spans="1:14" x14ac:dyDescent="0.25">
      <c r="A15" s="39" t="s">
        <v>56</v>
      </c>
      <c r="B15" s="43">
        <f>SUM(B13:E13)</f>
        <v>331817</v>
      </c>
    </row>
    <row r="16" spans="1:14" x14ac:dyDescent="0.25">
      <c r="G16" s="5"/>
    </row>
    <row r="17" spans="1:256" x14ac:dyDescent="0.25">
      <c r="A17" s="108" t="s">
        <v>14</v>
      </c>
      <c r="B17" s="112" t="s">
        <v>53</v>
      </c>
      <c r="C17" s="112"/>
      <c r="D17" s="112"/>
      <c r="E17" s="112"/>
      <c r="F17" s="112" t="s">
        <v>54</v>
      </c>
      <c r="G17" s="112"/>
      <c r="H17" s="112"/>
      <c r="I17" s="112"/>
      <c r="J17" s="98" t="s">
        <v>55</v>
      </c>
      <c r="K17" s="99"/>
      <c r="L17" s="99"/>
      <c r="M17" s="99"/>
      <c r="N17" s="100"/>
    </row>
    <row r="18" spans="1:256" s="27" customFormat="1" ht="12.75" x14ac:dyDescent="0.2">
      <c r="A18" s="108"/>
      <c r="B18" s="38" t="s">
        <v>41</v>
      </c>
      <c r="C18" s="38" t="s">
        <v>42</v>
      </c>
      <c r="D18" s="38" t="s">
        <v>15</v>
      </c>
      <c r="E18" s="38" t="s">
        <v>43</v>
      </c>
      <c r="F18" s="38" t="s">
        <v>41</v>
      </c>
      <c r="G18" s="38" t="s">
        <v>42</v>
      </c>
      <c r="H18" s="38" t="s">
        <v>15</v>
      </c>
      <c r="I18" s="38" t="s">
        <v>43</v>
      </c>
      <c r="J18" s="38" t="s">
        <v>41</v>
      </c>
      <c r="K18" s="38" t="s">
        <v>42</v>
      </c>
      <c r="L18" s="38" t="s">
        <v>15</v>
      </c>
      <c r="M18" s="38" t="s">
        <v>43</v>
      </c>
      <c r="N18" s="44" t="s">
        <v>9</v>
      </c>
    </row>
    <row r="19" spans="1:256" s="27" customFormat="1" ht="12.75" x14ac:dyDescent="0.2">
      <c r="A19" s="36" t="str">
        <f>IF('Instructions &amp; Summary'!$E$4="1H","January","July")</f>
        <v>July</v>
      </c>
      <c r="B19" s="41">
        <f>VLOOKUP($A19,'Bidding Load'!$A$21:$E$32,MATCH(B$18,'Bidding Load'!$A$20:$E$20,0),FALSE)</f>
        <v>32078</v>
      </c>
      <c r="C19" s="41">
        <f>VLOOKUP($A19,'Bidding Load'!$A$21:$E$32,MATCH(C$18,'Bidding Load'!$A$20:$E$20,0),FALSE)</f>
        <v>6426</v>
      </c>
      <c r="D19" s="41">
        <f>VLOOKUP($A19,'Bidding Load'!$A$21:$E$32,MATCH(D$18,'Bidding Load'!$A$20:$E$20,0),FALSE)</f>
        <v>141339</v>
      </c>
      <c r="E19" s="41">
        <f>VLOOKUP($A19,'Bidding Load'!$A$21:$E$32,MATCH(E$18,'Bidding Load'!$A$20:$E$20,0),FALSE)</f>
        <v>345</v>
      </c>
      <c r="F19" s="54"/>
      <c r="G19" s="54"/>
      <c r="H19" s="54"/>
      <c r="I19" s="54"/>
      <c r="J19" s="56">
        <f t="shared" ref="J19:J24" si="3">ROUND(F19,2)*B19</f>
        <v>0</v>
      </c>
      <c r="K19" s="56">
        <f t="shared" ref="K19:M24" si="4">ROUND(G19,2)*C19</f>
        <v>0</v>
      </c>
      <c r="L19" s="56">
        <f t="shared" si="4"/>
        <v>0</v>
      </c>
      <c r="M19" s="56">
        <f t="shared" si="4"/>
        <v>0</v>
      </c>
      <c r="N19" s="56">
        <f t="shared" ref="N19:N24" si="5">SUM(J19:M19)</f>
        <v>0</v>
      </c>
    </row>
    <row r="20" spans="1:256" s="27" customFormat="1" ht="12.75" x14ac:dyDescent="0.2">
      <c r="A20" s="36" t="str">
        <f>IF('Instructions &amp; Summary'!$E$4="1H","February","August")</f>
        <v>August</v>
      </c>
      <c r="B20" s="41">
        <f>VLOOKUP($A20,'Bidding Load'!$A$21:$E$32,MATCH(B$18,'Bidding Load'!$A$20:$E$20,0),FALSE)</f>
        <v>28153</v>
      </c>
      <c r="C20" s="41">
        <f>VLOOKUP($A20,'Bidding Load'!$A$21:$E$32,MATCH(C$18,'Bidding Load'!$A$20:$E$20,0),FALSE)</f>
        <v>5949</v>
      </c>
      <c r="D20" s="41">
        <f>VLOOKUP($A20,'Bidding Load'!$A$21:$E$32,MATCH(D$18,'Bidding Load'!$A$20:$E$20,0),FALSE)</f>
        <v>123941</v>
      </c>
      <c r="E20" s="41">
        <f>VLOOKUP($A20,'Bidding Load'!$A$21:$E$32,MATCH(E$18,'Bidding Load'!$A$20:$E$20,0),FALSE)</f>
        <v>367</v>
      </c>
      <c r="F20" s="54"/>
      <c r="G20" s="54"/>
      <c r="H20" s="54"/>
      <c r="I20" s="54"/>
      <c r="J20" s="56">
        <f t="shared" si="3"/>
        <v>0</v>
      </c>
      <c r="K20" s="56">
        <f t="shared" si="4"/>
        <v>0</v>
      </c>
      <c r="L20" s="56">
        <f t="shared" si="4"/>
        <v>0</v>
      </c>
      <c r="M20" s="56">
        <f t="shared" si="4"/>
        <v>0</v>
      </c>
      <c r="N20" s="56">
        <f t="shared" si="5"/>
        <v>0</v>
      </c>
    </row>
    <row r="21" spans="1:256" s="27" customFormat="1" ht="12.75" x14ac:dyDescent="0.2">
      <c r="A21" s="36" t="str">
        <f>IF('Instructions &amp; Summary'!$E$4="1H","March","September")</f>
        <v>September</v>
      </c>
      <c r="B21" s="41">
        <f>VLOOKUP($A21,'Bidding Load'!$A$21:$E$32,MATCH(B$18,'Bidding Load'!$A$20:$E$20,0),FALSE)</f>
        <v>25978</v>
      </c>
      <c r="C21" s="41">
        <f>VLOOKUP($A21,'Bidding Load'!$A$21:$E$32,MATCH(C$18,'Bidding Load'!$A$20:$E$20,0),FALSE)</f>
        <v>5498</v>
      </c>
      <c r="D21" s="41">
        <f>VLOOKUP($A21,'Bidding Load'!$A$21:$E$32,MATCH(D$18,'Bidding Load'!$A$20:$E$20,0),FALSE)</f>
        <v>96191</v>
      </c>
      <c r="E21" s="41">
        <f>VLOOKUP($A21,'Bidding Load'!$A$21:$E$32,MATCH(E$18,'Bidding Load'!$A$20:$E$20,0),FALSE)</f>
        <v>460</v>
      </c>
      <c r="F21" s="54"/>
      <c r="G21" s="54"/>
      <c r="H21" s="54"/>
      <c r="I21" s="54"/>
      <c r="J21" s="56">
        <f t="shared" si="3"/>
        <v>0</v>
      </c>
      <c r="K21" s="56">
        <f t="shared" si="4"/>
        <v>0</v>
      </c>
      <c r="L21" s="56">
        <f t="shared" si="4"/>
        <v>0</v>
      </c>
      <c r="M21" s="56">
        <f t="shared" si="4"/>
        <v>0</v>
      </c>
      <c r="N21" s="56">
        <f t="shared" si="5"/>
        <v>0</v>
      </c>
    </row>
    <row r="22" spans="1:256" s="27" customFormat="1" ht="12.75" x14ac:dyDescent="0.2">
      <c r="A22" s="36" t="str">
        <f>IF('Instructions &amp; Summary'!$E$4="1H","April","October")</f>
        <v>October</v>
      </c>
      <c r="B22" s="41">
        <f>VLOOKUP($A22,'Bidding Load'!$A$21:$E$32,MATCH(B$18,'Bidding Load'!$A$20:$E$20,0),FALSE)</f>
        <v>26714</v>
      </c>
      <c r="C22" s="41">
        <f>VLOOKUP($A22,'Bidding Load'!$A$21:$E$32,MATCH(C$18,'Bidding Load'!$A$20:$E$20,0),FALSE)</f>
        <v>6162</v>
      </c>
      <c r="D22" s="41">
        <f>VLOOKUP($A22,'Bidding Load'!$A$21:$E$32,MATCH(D$18,'Bidding Load'!$A$20:$E$20,0),FALSE)</f>
        <v>81753</v>
      </c>
      <c r="E22" s="41">
        <f>VLOOKUP($A22,'Bidding Load'!$A$21:$E$32,MATCH(E$18,'Bidding Load'!$A$20:$E$20,0),FALSE)</f>
        <v>665</v>
      </c>
      <c r="F22" s="54"/>
      <c r="G22" s="54"/>
      <c r="H22" s="54"/>
      <c r="I22" s="54"/>
      <c r="J22" s="56">
        <f t="shared" si="3"/>
        <v>0</v>
      </c>
      <c r="K22" s="56">
        <f t="shared" si="4"/>
        <v>0</v>
      </c>
      <c r="L22" s="56">
        <f t="shared" si="4"/>
        <v>0</v>
      </c>
      <c r="M22" s="56">
        <f t="shared" si="4"/>
        <v>0</v>
      </c>
      <c r="N22" s="56">
        <f t="shared" si="5"/>
        <v>0</v>
      </c>
    </row>
    <row r="23" spans="1:256" s="27" customFormat="1" ht="12.75" x14ac:dyDescent="0.2">
      <c r="A23" s="36" t="str">
        <f>IF('Instructions &amp; Summary'!$E$4="1H","May","November")</f>
        <v>November</v>
      </c>
      <c r="B23" s="41">
        <f>VLOOKUP($A23,'Bidding Load'!$A$21:$E$32,MATCH(B$18,'Bidding Load'!$A$20:$E$20,0),FALSE)</f>
        <v>27893</v>
      </c>
      <c r="C23" s="41">
        <f>VLOOKUP($A23,'Bidding Load'!$A$21:$E$32,MATCH(C$18,'Bidding Load'!$A$20:$E$20,0),FALSE)</f>
        <v>6295</v>
      </c>
      <c r="D23" s="41">
        <f>VLOOKUP($A23,'Bidding Load'!$A$21:$E$32,MATCH(D$18,'Bidding Load'!$A$20:$E$20,0),FALSE)</f>
        <v>91157</v>
      </c>
      <c r="E23" s="41">
        <f>VLOOKUP($A23,'Bidding Load'!$A$21:$E$32,MATCH(E$18,'Bidding Load'!$A$20:$E$20,0),FALSE)</f>
        <v>786</v>
      </c>
      <c r="F23" s="54"/>
      <c r="G23" s="54"/>
      <c r="H23" s="54"/>
      <c r="I23" s="54"/>
      <c r="J23" s="56">
        <f t="shared" si="3"/>
        <v>0</v>
      </c>
      <c r="K23" s="56">
        <f t="shared" si="4"/>
        <v>0</v>
      </c>
      <c r="L23" s="56">
        <f t="shared" si="4"/>
        <v>0</v>
      </c>
      <c r="M23" s="56">
        <f t="shared" si="4"/>
        <v>0</v>
      </c>
      <c r="N23" s="56">
        <f t="shared" si="5"/>
        <v>0</v>
      </c>
    </row>
    <row r="24" spans="1:256" s="27" customFormat="1" ht="12.75" x14ac:dyDescent="0.2">
      <c r="A24" s="36" t="str">
        <f>IF('Instructions &amp; Summary'!$E$4="1H","June","December")</f>
        <v>December</v>
      </c>
      <c r="B24" s="41">
        <f>VLOOKUP($A24,'Bidding Load'!$A$21:$E$32,MATCH(B$18,'Bidding Load'!$A$20:$E$20,0),FALSE)</f>
        <v>28948</v>
      </c>
      <c r="C24" s="41">
        <f>VLOOKUP($A24,'Bidding Load'!$A$21:$E$32,MATCH(C$18,'Bidding Load'!$A$20:$E$20,0),FALSE)</f>
        <v>5445</v>
      </c>
      <c r="D24" s="41">
        <f>VLOOKUP($A24,'Bidding Load'!$A$21:$E$32,MATCH(D$18,'Bidding Load'!$A$20:$E$20,0),FALSE)</f>
        <v>118265</v>
      </c>
      <c r="E24" s="41">
        <f>VLOOKUP($A24,'Bidding Load'!$A$21:$E$32,MATCH(E$18,'Bidding Load'!$A$20:$E$20,0),FALSE)</f>
        <v>724</v>
      </c>
      <c r="F24" s="54"/>
      <c r="G24" s="54"/>
      <c r="H24" s="54"/>
      <c r="I24" s="54"/>
      <c r="J24" s="56">
        <f t="shared" si="3"/>
        <v>0</v>
      </c>
      <c r="K24" s="56">
        <f t="shared" si="4"/>
        <v>0</v>
      </c>
      <c r="L24" s="56">
        <f t="shared" si="4"/>
        <v>0</v>
      </c>
      <c r="M24" s="56">
        <f t="shared" si="4"/>
        <v>0</v>
      </c>
      <c r="N24" s="56">
        <f t="shared" si="5"/>
        <v>0</v>
      </c>
    </row>
    <row r="25" spans="1:256" x14ac:dyDescent="0.25">
      <c r="A25" s="39" t="s">
        <v>45</v>
      </c>
      <c r="B25" s="42">
        <f>SUM(B19:B24)</f>
        <v>169764</v>
      </c>
      <c r="C25" s="42">
        <f>SUM(C19:C24)</f>
        <v>35775</v>
      </c>
      <c r="D25" s="42">
        <f>SUM(D19:D24)</f>
        <v>652646</v>
      </c>
      <c r="E25" s="42">
        <f>SUM(E19:E24)</f>
        <v>3347</v>
      </c>
      <c r="F25" s="37" t="s">
        <v>44</v>
      </c>
      <c r="G25" s="37" t="s">
        <v>44</v>
      </c>
      <c r="H25" s="37" t="s">
        <v>44</v>
      </c>
      <c r="I25" s="37" t="s">
        <v>44</v>
      </c>
      <c r="J25" s="58">
        <f>SUM(J19:J24)</f>
        <v>0</v>
      </c>
      <c r="K25" s="58">
        <f>SUM(K19:K24)</f>
        <v>0</v>
      </c>
      <c r="L25" s="58">
        <f>SUM(L19:L24)</f>
        <v>0</v>
      </c>
      <c r="M25" s="58">
        <f>SUM(M19:M24)</f>
        <v>0</v>
      </c>
      <c r="N25" s="58">
        <f>SUM(N19:N24)</f>
        <v>0</v>
      </c>
      <c r="O25" s="28"/>
      <c r="P25" s="29"/>
      <c r="Q25" s="29"/>
      <c r="R25" s="29"/>
      <c r="S25" s="29"/>
      <c r="T25" s="28"/>
      <c r="U25" s="3"/>
      <c r="V25" s="3"/>
      <c r="W25" s="3"/>
      <c r="X25" s="30"/>
      <c r="Y25" s="30"/>
      <c r="Z25" s="30"/>
      <c r="AA25" s="31"/>
      <c r="AB25" s="30"/>
      <c r="AC25" s="28"/>
      <c r="AD25" s="29"/>
      <c r="AE25" s="29"/>
      <c r="AF25" s="29"/>
      <c r="AG25" s="29"/>
      <c r="AH25" s="28"/>
      <c r="AI25" s="3"/>
      <c r="AJ25" s="3"/>
      <c r="AK25" s="3"/>
      <c r="AL25" s="30"/>
      <c r="AM25" s="30"/>
      <c r="AN25" s="30"/>
      <c r="AO25" s="31"/>
      <c r="AP25" s="30"/>
      <c r="AQ25" s="28"/>
      <c r="AR25" s="29"/>
      <c r="AS25" s="29"/>
      <c r="AT25" s="29"/>
      <c r="AU25" s="29"/>
      <c r="AV25" s="28"/>
      <c r="AW25" s="3"/>
      <c r="AX25" s="3"/>
      <c r="AY25" s="3"/>
      <c r="AZ25" s="30"/>
      <c r="BA25" s="30"/>
      <c r="BB25" s="30"/>
      <c r="BC25" s="31"/>
      <c r="BD25" s="30"/>
      <c r="BE25" s="28"/>
      <c r="BF25" s="29"/>
      <c r="BG25" s="29"/>
      <c r="BH25" s="29"/>
      <c r="BI25" s="29"/>
      <c r="BJ25" s="28"/>
      <c r="BK25" s="3"/>
      <c r="BL25" s="3"/>
      <c r="BM25" s="3"/>
      <c r="BN25" s="30"/>
      <c r="BO25" s="30"/>
      <c r="BP25" s="30"/>
      <c r="BQ25" s="31"/>
      <c r="BR25" s="30"/>
      <c r="BS25" s="28"/>
      <c r="BT25" s="29"/>
      <c r="BU25" s="29"/>
      <c r="BV25" s="29"/>
      <c r="BW25" s="29"/>
      <c r="BX25" s="28"/>
      <c r="BY25" s="3"/>
      <c r="BZ25" s="3"/>
      <c r="CA25" s="3"/>
      <c r="CB25" s="30"/>
      <c r="CC25" s="30"/>
      <c r="CD25" s="30"/>
      <c r="CE25" s="31"/>
      <c r="CF25" s="30"/>
      <c r="CG25" s="28"/>
      <c r="CH25" s="29"/>
      <c r="CI25" s="29"/>
      <c r="CJ25" s="29"/>
      <c r="CK25" s="29"/>
      <c r="CL25" s="28"/>
      <c r="CM25" s="3"/>
      <c r="CN25" s="3"/>
      <c r="CO25" s="3"/>
      <c r="CP25" s="30"/>
      <c r="CQ25" s="30"/>
      <c r="CR25" s="30"/>
      <c r="CS25" s="31"/>
      <c r="CT25" s="30"/>
      <c r="CU25" s="28"/>
      <c r="CV25" s="29"/>
      <c r="CW25" s="29"/>
      <c r="CX25" s="29"/>
      <c r="CY25" s="29"/>
      <c r="CZ25" s="28"/>
      <c r="DA25" s="3"/>
      <c r="DB25" s="3"/>
      <c r="DC25" s="3"/>
      <c r="DD25" s="30"/>
      <c r="DE25" s="30"/>
      <c r="DF25" s="30"/>
      <c r="DG25" s="31"/>
      <c r="DH25" s="30"/>
      <c r="DI25" s="28"/>
      <c r="DJ25" s="29"/>
      <c r="DK25" s="29"/>
      <c r="DL25" s="29"/>
      <c r="DM25" s="29"/>
      <c r="DN25" s="28"/>
      <c r="DO25" s="3"/>
      <c r="DP25" s="3"/>
      <c r="DQ25" s="3"/>
      <c r="DR25" s="30"/>
      <c r="DS25" s="30"/>
      <c r="DT25" s="30"/>
      <c r="DU25" s="31"/>
      <c r="DV25" s="30"/>
      <c r="DW25" s="28"/>
      <c r="DX25" s="29"/>
      <c r="DY25" s="29"/>
      <c r="DZ25" s="29"/>
      <c r="EA25" s="29"/>
      <c r="EB25" s="28"/>
      <c r="EC25" s="3"/>
      <c r="ED25" s="3"/>
      <c r="EE25" s="3"/>
      <c r="EF25" s="30"/>
      <c r="EG25" s="30"/>
      <c r="EH25" s="30"/>
      <c r="EI25" s="31"/>
      <c r="EJ25" s="30"/>
      <c r="EK25" s="28"/>
      <c r="EL25" s="29"/>
      <c r="EM25" s="29"/>
      <c r="EN25" s="29"/>
      <c r="EO25" s="29"/>
      <c r="EP25" s="28"/>
      <c r="EQ25" s="3"/>
      <c r="ER25" s="3"/>
      <c r="ES25" s="3"/>
      <c r="ET25" s="30"/>
      <c r="EU25" s="30"/>
      <c r="EV25" s="30"/>
      <c r="EW25" s="31"/>
      <c r="EX25" s="30"/>
      <c r="EY25" s="28"/>
      <c r="EZ25" s="29"/>
      <c r="FA25" s="29"/>
      <c r="FB25" s="29"/>
      <c r="FC25" s="29"/>
      <c r="FD25" s="28"/>
      <c r="FE25" s="3"/>
      <c r="FF25" s="3"/>
      <c r="FG25" s="3"/>
      <c r="FH25" s="30"/>
      <c r="FI25" s="30"/>
      <c r="FJ25" s="30"/>
      <c r="FK25" s="31"/>
      <c r="FL25" s="30"/>
      <c r="FM25" s="28"/>
      <c r="FN25" s="29"/>
      <c r="FO25" s="29"/>
      <c r="FP25" s="29"/>
      <c r="FQ25" s="29"/>
      <c r="FR25" s="28"/>
      <c r="FS25" s="3"/>
      <c r="FT25" s="3"/>
      <c r="FU25" s="3"/>
      <c r="FV25" s="30"/>
      <c r="FW25" s="30"/>
      <c r="FX25" s="30"/>
      <c r="FY25" s="31"/>
      <c r="FZ25" s="30"/>
      <c r="GA25" s="28"/>
      <c r="GB25" s="29"/>
      <c r="GC25" s="29"/>
      <c r="GD25" s="29"/>
      <c r="GE25" s="29"/>
      <c r="GF25" s="28"/>
      <c r="GG25" s="3"/>
      <c r="GH25" s="3"/>
      <c r="GI25" s="3"/>
      <c r="GJ25" s="30"/>
      <c r="GK25" s="30"/>
      <c r="GL25" s="30"/>
      <c r="GM25" s="31"/>
      <c r="GN25" s="30"/>
      <c r="GO25" s="28"/>
      <c r="GP25" s="29"/>
      <c r="GQ25" s="29"/>
      <c r="GR25" s="29"/>
      <c r="GS25" s="29"/>
      <c r="GT25" s="28"/>
      <c r="GU25" s="3"/>
      <c r="GV25" s="3"/>
      <c r="GW25" s="3"/>
      <c r="GX25" s="30"/>
      <c r="GY25" s="30"/>
      <c r="GZ25" s="30"/>
      <c r="HA25" s="31"/>
      <c r="HB25" s="30"/>
      <c r="HC25" s="28"/>
      <c r="HD25" s="29"/>
      <c r="HE25" s="29"/>
      <c r="HF25" s="29"/>
      <c r="HG25" s="29"/>
      <c r="HH25" s="28"/>
      <c r="HI25" s="3"/>
      <c r="HJ25" s="3"/>
      <c r="HK25" s="3"/>
      <c r="HL25" s="30"/>
      <c r="HM25" s="30"/>
      <c r="HN25" s="30"/>
      <c r="HO25" s="31"/>
      <c r="HP25" s="30"/>
      <c r="HQ25" s="28"/>
      <c r="HR25" s="29"/>
      <c r="HS25" s="29"/>
      <c r="HT25" s="29"/>
      <c r="HU25" s="29"/>
      <c r="HV25" s="28"/>
      <c r="HW25" s="3"/>
      <c r="HX25" s="3"/>
      <c r="HY25" s="3"/>
      <c r="HZ25" s="30"/>
      <c r="IA25" s="30"/>
      <c r="IB25" s="30"/>
      <c r="IC25" s="31"/>
      <c r="ID25" s="30"/>
      <c r="IE25" s="28"/>
      <c r="IF25" s="29"/>
      <c r="IG25" s="29"/>
      <c r="IH25" s="29"/>
      <c r="II25" s="29"/>
      <c r="IJ25" s="28"/>
      <c r="IK25" s="3"/>
      <c r="IL25" s="3"/>
      <c r="IM25" s="3"/>
      <c r="IN25" s="30"/>
      <c r="IO25" s="30"/>
      <c r="IP25" s="30"/>
      <c r="IQ25" s="31"/>
      <c r="IR25" s="30"/>
      <c r="IS25" s="28"/>
      <c r="IT25" s="29"/>
      <c r="IU25" s="29"/>
      <c r="IV25" s="29"/>
    </row>
    <row r="27" spans="1:256" x14ac:dyDescent="0.25">
      <c r="A27" s="39" t="s">
        <v>57</v>
      </c>
      <c r="B27" s="43">
        <f>SUM(B25:E25)</f>
        <v>861532</v>
      </c>
      <c r="E27" s="102" t="s">
        <v>47</v>
      </c>
      <c r="F27" s="103"/>
      <c r="G27" s="103"/>
      <c r="H27" s="103"/>
      <c r="I27" s="104"/>
    </row>
    <row r="28" spans="1:256" x14ac:dyDescent="0.25">
      <c r="E28" s="50"/>
      <c r="F28" s="51"/>
      <c r="G28" s="52"/>
      <c r="H28" s="52"/>
      <c r="I28" s="53"/>
    </row>
    <row r="29" spans="1:256" x14ac:dyDescent="0.25">
      <c r="A29" s="48" t="s">
        <v>61</v>
      </c>
      <c r="B29" s="43">
        <f>B15+B27</f>
        <v>1193349</v>
      </c>
      <c r="E29" s="109" t="str">
        <f>'Instructions &amp; Summary'!$A$18</f>
        <v>SAMPLE - Bidder "X"- NOT TO BE USED FOR BID SUBMITTAL</v>
      </c>
      <c r="F29" s="110"/>
      <c r="G29" s="110"/>
      <c r="H29" s="110"/>
      <c r="I29" s="111"/>
    </row>
    <row r="30" spans="1:256" x14ac:dyDescent="0.25">
      <c r="E30" s="109" t="str">
        <f>'Instructions &amp; Summary'!$A$19</f>
        <v>Bidder "X"</v>
      </c>
      <c r="F30" s="110"/>
      <c r="G30" s="110"/>
      <c r="H30" s="110"/>
      <c r="I30" s="111"/>
    </row>
    <row r="31" spans="1:256" ht="12.75" customHeight="1" x14ac:dyDescent="0.25">
      <c r="A31" s="48" t="str">
        <f>A3</f>
        <v>UI SS Tranche 5</v>
      </c>
      <c r="B31" s="38" t="s">
        <v>62</v>
      </c>
      <c r="C31" s="38" t="s">
        <v>46</v>
      </c>
      <c r="E31" s="105" t="str">
        <f>B3</f>
        <v>July 1, 2027 through December 31, 2027 - 10% of the SS TOTAL load</v>
      </c>
      <c r="F31" s="113"/>
      <c r="G31" s="113"/>
      <c r="H31" s="113"/>
      <c r="I31" s="114"/>
    </row>
    <row r="32" spans="1:256" ht="12.75" customHeight="1" x14ac:dyDescent="0.25">
      <c r="A32" s="49" t="s">
        <v>58</v>
      </c>
      <c r="B32" s="61">
        <f>N13</f>
        <v>0</v>
      </c>
      <c r="C32" s="62">
        <f>ROUND(B32/B15,2)</f>
        <v>0</v>
      </c>
    </row>
    <row r="33" spans="1:8" ht="12.75" customHeight="1" x14ac:dyDescent="0.25">
      <c r="A33" s="49" t="s">
        <v>59</v>
      </c>
      <c r="B33" s="61">
        <f>N25</f>
        <v>0</v>
      </c>
      <c r="C33" s="62">
        <f>ROUND(B33/B27,2)</f>
        <v>0</v>
      </c>
      <c r="D33" s="7"/>
    </row>
    <row r="34" spans="1:8" ht="12.75" customHeight="1" x14ac:dyDescent="0.25">
      <c r="A34" s="55" t="s">
        <v>60</v>
      </c>
      <c r="B34" s="63">
        <f>SUM(B32:B33)</f>
        <v>0</v>
      </c>
      <c r="C34" s="64">
        <f>ROUND(B34/B29,2)</f>
        <v>0</v>
      </c>
    </row>
    <row r="35" spans="1:8" ht="30" customHeight="1" x14ac:dyDescent="0.25">
      <c r="A35" s="45"/>
      <c r="B35" s="46"/>
      <c r="C35" s="47"/>
    </row>
    <row r="36" spans="1:8" x14ac:dyDescent="0.25">
      <c r="A36" s="45"/>
      <c r="B36" s="46"/>
      <c r="C36" s="47"/>
      <c r="H36" s="32"/>
    </row>
  </sheetData>
  <sheetProtection algorithmName="SHA-512" hashValue="udfEeV5hoe8J29mACcmecUtBlXlV0F7Z2lWBoYy59R0bagJrbdJfwXRATM9VPRjre6r8kmGe4sxp6Pj0gvK+qA==" saltValue="CpjoXU22Us27DS1t7mFA9Q==" spinCount="100000" sheet="1" objects="1" scenarios="1"/>
  <mergeCells count="13">
    <mergeCell ref="A1:N1"/>
    <mergeCell ref="J17:N17"/>
    <mergeCell ref="E27:I27"/>
    <mergeCell ref="A5:A6"/>
    <mergeCell ref="B5:E5"/>
    <mergeCell ref="F5:I5"/>
    <mergeCell ref="J5:N5"/>
    <mergeCell ref="E29:I29"/>
    <mergeCell ref="E30:I30"/>
    <mergeCell ref="E31:I31"/>
    <mergeCell ref="A17:A18"/>
    <mergeCell ref="B17:E17"/>
    <mergeCell ref="F17:I17"/>
  </mergeCells>
  <pageMargins left="0.7" right="0.7" top="0.75" bottom="0.75" header="0.3" footer="0.3"/>
  <pageSetup scale="56" fitToHeight="0" orientation="landscape" r:id="rId1"/>
  <headerFooter>
    <oddHeader xml:space="preserve">&amp;L&amp;"Arial,Bold"&amp;10The United Illuminating Company
Docket No: 26-01-02
&amp;C&amp;"Arial,Bold"&amp;10CONFIDENTIAL
&amp;A&amp;R&amp;"Arial,Bold"&amp;10UI Attachment 2a
Page 7 of 12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V36"/>
  <sheetViews>
    <sheetView view="pageLayout" zoomScale="80" zoomScaleNormal="100" zoomScalePageLayoutView="80" workbookViewId="0">
      <selection activeCell="A27" sqref="A27:F27"/>
    </sheetView>
  </sheetViews>
  <sheetFormatPr defaultRowHeight="15" x14ac:dyDescent="0.25"/>
  <cols>
    <col min="1" max="1" width="21.42578125" style="35" customWidth="1"/>
    <col min="2" max="4" width="14.28515625" customWidth="1"/>
    <col min="5" max="5" width="19" customWidth="1"/>
    <col min="6" max="8" width="13.42578125" customWidth="1"/>
    <col min="9" max="9" width="12" customWidth="1"/>
    <col min="10" max="12" width="17" customWidth="1"/>
    <col min="13" max="13" width="14.28515625" customWidth="1"/>
    <col min="14" max="14" width="17.5703125" customWidth="1"/>
  </cols>
  <sheetData>
    <row r="1" spans="1:14" ht="18" x14ac:dyDescent="0.25">
      <c r="A1" s="101" t="str">
        <f>'Instructions &amp; Summary'!A1</f>
        <v>CONFIDENTIAL UNTIL 10/20/2026</v>
      </c>
      <c r="B1" s="101"/>
      <c r="C1" s="101"/>
      <c r="D1" s="101"/>
      <c r="E1" s="101"/>
      <c r="F1" s="101"/>
      <c r="G1" s="101"/>
      <c r="H1" s="101"/>
      <c r="I1" s="101"/>
      <c r="J1" s="101"/>
      <c r="K1" s="101"/>
      <c r="L1" s="101"/>
      <c r="M1" s="101"/>
      <c r="N1" s="101"/>
    </row>
    <row r="3" spans="1:14" ht="15.75" x14ac:dyDescent="0.25">
      <c r="A3" s="34" t="s">
        <v>7</v>
      </c>
      <c r="B3" s="33" t="str">
        <f>VLOOKUP($A$3,'Instructions &amp; Summary'!$A$7:$B$14,2,FALSE)</f>
        <v>July 1, 2027 through December 31, 2027 - 10% of the SS TOTAL load</v>
      </c>
      <c r="C3" s="26"/>
      <c r="D3" s="26"/>
      <c r="E3" s="26"/>
      <c r="F3" s="26"/>
      <c r="G3" s="5"/>
    </row>
    <row r="4" spans="1:14" ht="15.75" x14ac:dyDescent="0.25">
      <c r="A4" s="34"/>
      <c r="B4" s="33"/>
      <c r="C4" s="26"/>
      <c r="D4" s="26"/>
      <c r="E4" s="26"/>
      <c r="F4" s="26"/>
      <c r="G4" s="5"/>
    </row>
    <row r="5" spans="1:14" x14ac:dyDescent="0.25">
      <c r="A5" s="108" t="s">
        <v>14</v>
      </c>
      <c r="B5" s="112" t="s">
        <v>50</v>
      </c>
      <c r="C5" s="112"/>
      <c r="D5" s="112"/>
      <c r="E5" s="112"/>
      <c r="F5" s="112" t="s">
        <v>51</v>
      </c>
      <c r="G5" s="112"/>
      <c r="H5" s="112"/>
      <c r="I5" s="112"/>
      <c r="J5" s="98" t="s">
        <v>52</v>
      </c>
      <c r="K5" s="99"/>
      <c r="L5" s="99"/>
      <c r="M5" s="99"/>
      <c r="N5" s="100"/>
    </row>
    <row r="6" spans="1:14" s="27" customFormat="1" ht="12.75" x14ac:dyDescent="0.2">
      <c r="A6" s="108"/>
      <c r="B6" s="38" t="s">
        <v>41</v>
      </c>
      <c r="C6" s="38" t="s">
        <v>42</v>
      </c>
      <c r="D6" s="38" t="s">
        <v>15</v>
      </c>
      <c r="E6" s="38" t="s">
        <v>43</v>
      </c>
      <c r="F6" s="38" t="s">
        <v>41</v>
      </c>
      <c r="G6" s="38" t="s">
        <v>42</v>
      </c>
      <c r="H6" s="38" t="s">
        <v>15</v>
      </c>
      <c r="I6" s="38" t="s">
        <v>43</v>
      </c>
      <c r="J6" s="38" t="s">
        <v>41</v>
      </c>
      <c r="K6" s="38" t="s">
        <v>42</v>
      </c>
      <c r="L6" s="38" t="s">
        <v>15</v>
      </c>
      <c r="M6" s="38" t="s">
        <v>43</v>
      </c>
      <c r="N6" s="44" t="s">
        <v>9</v>
      </c>
    </row>
    <row r="7" spans="1:14" s="27" customFormat="1" ht="12.75" x14ac:dyDescent="0.2">
      <c r="A7" s="36" t="str">
        <f>IF('Instructions &amp; Summary'!$E$4="1H","January","July")</f>
        <v>July</v>
      </c>
      <c r="B7" s="41">
        <f>VLOOKUP($A7,'Bidding Load'!$A$5:$E$16,MATCH(B$6,'Bidding Load'!$A$4:$E$4,0),FALSE)</f>
        <v>17019</v>
      </c>
      <c r="C7" s="41">
        <f>VLOOKUP($A7,'Bidding Load'!$A$5:$E$16,MATCH(C$6,'Bidding Load'!$A$4:$E$4,0),FALSE)</f>
        <v>2387</v>
      </c>
      <c r="D7" s="41">
        <f>VLOOKUP($A7,'Bidding Load'!$A$5:$E$16,MATCH(D$6,'Bidding Load'!$A$4:$E$4,0),FALSE)</f>
        <v>63150</v>
      </c>
      <c r="E7" s="41">
        <f>VLOOKUP($A7,'Bidding Load'!$A$5:$E$16,MATCH(E$6,'Bidding Load'!$A$4:$E$4,0),FALSE)</f>
        <v>0</v>
      </c>
      <c r="F7" s="54"/>
      <c r="G7" s="54"/>
      <c r="H7" s="54"/>
      <c r="I7" s="59" t="s">
        <v>44</v>
      </c>
      <c r="J7" s="56">
        <f t="shared" ref="J7:J12" si="0">ROUND(F7,2)*B7</f>
        <v>0</v>
      </c>
      <c r="K7" s="56">
        <f t="shared" ref="K7:L12" si="1">ROUND(G7,2)*C7</f>
        <v>0</v>
      </c>
      <c r="L7" s="56">
        <f t="shared" si="1"/>
        <v>0</v>
      </c>
      <c r="M7" s="40" t="s">
        <v>44</v>
      </c>
      <c r="N7" s="56">
        <f t="shared" ref="N7:N12" si="2">SUM(J7:L7)</f>
        <v>0</v>
      </c>
    </row>
    <row r="8" spans="1:14" s="27" customFormat="1" ht="12.75" x14ac:dyDescent="0.2">
      <c r="A8" s="36" t="str">
        <f>IF('Instructions &amp; Summary'!$E$4="1H","February","August")</f>
        <v>August</v>
      </c>
      <c r="B8" s="41">
        <f>VLOOKUP($A8,'Bidding Load'!$A$5:$E$16,MATCH(B$6,'Bidding Load'!$A$4:$E$4,0),FALSE)</f>
        <v>13107</v>
      </c>
      <c r="C8" s="41">
        <f>VLOOKUP($A8,'Bidding Load'!$A$5:$E$16,MATCH(C$6,'Bidding Load'!$A$4:$E$4,0),FALSE)</f>
        <v>1943</v>
      </c>
      <c r="D8" s="41">
        <f>VLOOKUP($A8,'Bidding Load'!$A$5:$E$16,MATCH(D$6,'Bidding Load'!$A$4:$E$4,0),FALSE)</f>
        <v>45464</v>
      </c>
      <c r="E8" s="41">
        <f>VLOOKUP($A8,'Bidding Load'!$A$5:$E$16,MATCH(E$6,'Bidding Load'!$A$4:$E$4,0),FALSE)</f>
        <v>0</v>
      </c>
      <c r="F8" s="54"/>
      <c r="G8" s="54"/>
      <c r="H8" s="54"/>
      <c r="I8" s="59" t="s">
        <v>44</v>
      </c>
      <c r="J8" s="56">
        <f t="shared" si="0"/>
        <v>0</v>
      </c>
      <c r="K8" s="56">
        <f t="shared" si="1"/>
        <v>0</v>
      </c>
      <c r="L8" s="56">
        <f t="shared" si="1"/>
        <v>0</v>
      </c>
      <c r="M8" s="40" t="s">
        <v>44</v>
      </c>
      <c r="N8" s="56">
        <f t="shared" si="2"/>
        <v>0</v>
      </c>
    </row>
    <row r="9" spans="1:14" s="27" customFormat="1" ht="12.75" x14ac:dyDescent="0.2">
      <c r="A9" s="36" t="str">
        <f>IF('Instructions &amp; Summary'!$E$4="1H","March","September")</f>
        <v>September</v>
      </c>
      <c r="B9" s="41">
        <f>VLOOKUP($A9,'Bidding Load'!$A$5:$E$16,MATCH(B$6,'Bidding Load'!$A$4:$E$4,0),FALSE)</f>
        <v>12516</v>
      </c>
      <c r="C9" s="41">
        <f>VLOOKUP($A9,'Bidding Load'!$A$5:$E$16,MATCH(C$6,'Bidding Load'!$A$4:$E$4,0),FALSE)</f>
        <v>1886</v>
      </c>
      <c r="D9" s="41">
        <f>VLOOKUP($A9,'Bidding Load'!$A$5:$E$16,MATCH(D$6,'Bidding Load'!$A$4:$E$4,0),FALSE)</f>
        <v>35046</v>
      </c>
      <c r="E9" s="41">
        <f>VLOOKUP($A9,'Bidding Load'!$A$5:$E$16,MATCH(E$6,'Bidding Load'!$A$4:$E$4,0),FALSE)</f>
        <v>0</v>
      </c>
      <c r="F9" s="54"/>
      <c r="G9" s="54"/>
      <c r="H9" s="54"/>
      <c r="I9" s="59" t="s">
        <v>44</v>
      </c>
      <c r="J9" s="56">
        <f t="shared" si="0"/>
        <v>0</v>
      </c>
      <c r="K9" s="56">
        <f t="shared" si="1"/>
        <v>0</v>
      </c>
      <c r="L9" s="56">
        <f t="shared" si="1"/>
        <v>0</v>
      </c>
      <c r="M9" s="40" t="s">
        <v>44</v>
      </c>
      <c r="N9" s="56">
        <f t="shared" si="2"/>
        <v>0</v>
      </c>
    </row>
    <row r="10" spans="1:14" s="27" customFormat="1" ht="12.75" x14ac:dyDescent="0.2">
      <c r="A10" s="36" t="str">
        <f>IF('Instructions &amp; Summary'!$E$4="1H","April","October")</f>
        <v>October</v>
      </c>
      <c r="B10" s="41">
        <f>VLOOKUP($A10,'Bidding Load'!$A$5:$E$16,MATCH(B$6,'Bidding Load'!$A$4:$E$4,0),FALSE)</f>
        <v>11946</v>
      </c>
      <c r="C10" s="41">
        <f>VLOOKUP($A10,'Bidding Load'!$A$5:$E$16,MATCH(C$6,'Bidding Load'!$A$4:$E$4,0),FALSE)</f>
        <v>2027</v>
      </c>
      <c r="D10" s="41">
        <f>VLOOKUP($A10,'Bidding Load'!$A$5:$E$16,MATCH(D$6,'Bidding Load'!$A$4:$E$4,0),FALSE)</f>
        <v>26925</v>
      </c>
      <c r="E10" s="41">
        <f>VLOOKUP($A10,'Bidding Load'!$A$5:$E$16,MATCH(E$6,'Bidding Load'!$A$4:$E$4,0),FALSE)</f>
        <v>0</v>
      </c>
      <c r="F10" s="54"/>
      <c r="G10" s="54"/>
      <c r="H10" s="54"/>
      <c r="I10" s="59" t="s">
        <v>44</v>
      </c>
      <c r="J10" s="56">
        <f t="shared" si="0"/>
        <v>0</v>
      </c>
      <c r="K10" s="56">
        <f t="shared" si="1"/>
        <v>0</v>
      </c>
      <c r="L10" s="56">
        <f t="shared" si="1"/>
        <v>0</v>
      </c>
      <c r="M10" s="40" t="s">
        <v>44</v>
      </c>
      <c r="N10" s="56">
        <f t="shared" si="2"/>
        <v>0</v>
      </c>
    </row>
    <row r="11" spans="1:14" s="27" customFormat="1" ht="12.75" x14ac:dyDescent="0.2">
      <c r="A11" s="36" t="str">
        <f>IF('Instructions &amp; Summary'!$E$4="1H","May","November")</f>
        <v>November</v>
      </c>
      <c r="B11" s="41">
        <f>VLOOKUP($A11,'Bidding Load'!$A$5:$E$16,MATCH(B$6,'Bidding Load'!$A$4:$E$4,0),FALSE)</f>
        <v>10527</v>
      </c>
      <c r="C11" s="41">
        <f>VLOOKUP($A11,'Bidding Load'!$A$5:$E$16,MATCH(C$6,'Bidding Load'!$A$4:$E$4,0),FALSE)</f>
        <v>1853</v>
      </c>
      <c r="D11" s="41">
        <f>VLOOKUP($A11,'Bidding Load'!$A$5:$E$16,MATCH(D$6,'Bidding Load'!$A$4:$E$4,0),FALSE)</f>
        <v>28447</v>
      </c>
      <c r="E11" s="41">
        <f>VLOOKUP($A11,'Bidding Load'!$A$5:$E$16,MATCH(E$6,'Bidding Load'!$A$4:$E$4,0),FALSE)</f>
        <v>0</v>
      </c>
      <c r="F11" s="54"/>
      <c r="G11" s="54"/>
      <c r="H11" s="54"/>
      <c r="I11" s="59" t="s">
        <v>44</v>
      </c>
      <c r="J11" s="56">
        <f t="shared" si="0"/>
        <v>0</v>
      </c>
      <c r="K11" s="56">
        <f t="shared" si="1"/>
        <v>0</v>
      </c>
      <c r="L11" s="56">
        <f t="shared" si="1"/>
        <v>0</v>
      </c>
      <c r="M11" s="40" t="s">
        <v>44</v>
      </c>
      <c r="N11" s="56">
        <f t="shared" si="2"/>
        <v>0</v>
      </c>
    </row>
    <row r="12" spans="1:14" s="27" customFormat="1" ht="12.75" x14ac:dyDescent="0.2">
      <c r="A12" s="36" t="str">
        <f>IF('Instructions &amp; Summary'!$E$4="1H","June","December")</f>
        <v>December</v>
      </c>
      <c r="B12" s="41">
        <f>VLOOKUP($A12,'Bidding Load'!$A$5:$E$16,MATCH(B$6,'Bidding Load'!$A$4:$E$4,0),FALSE)</f>
        <v>12418</v>
      </c>
      <c r="C12" s="41">
        <f>VLOOKUP($A12,'Bidding Load'!$A$5:$E$16,MATCH(C$6,'Bidding Load'!$A$4:$E$4,0),FALSE)</f>
        <v>1850</v>
      </c>
      <c r="D12" s="41">
        <f>VLOOKUP($A12,'Bidding Load'!$A$5:$E$16,MATCH(D$6,'Bidding Load'!$A$4:$E$4,0),FALSE)</f>
        <v>43306</v>
      </c>
      <c r="E12" s="41">
        <f>VLOOKUP($A12,'Bidding Load'!$A$5:$E$16,MATCH(E$6,'Bidding Load'!$A$4:$E$4,0),FALSE)</f>
        <v>0</v>
      </c>
      <c r="F12" s="54"/>
      <c r="G12" s="54"/>
      <c r="H12" s="54"/>
      <c r="I12" s="59" t="s">
        <v>44</v>
      </c>
      <c r="J12" s="56">
        <f t="shared" si="0"/>
        <v>0</v>
      </c>
      <c r="K12" s="56">
        <f t="shared" si="1"/>
        <v>0</v>
      </c>
      <c r="L12" s="56">
        <f t="shared" si="1"/>
        <v>0</v>
      </c>
      <c r="M12" s="40" t="s">
        <v>44</v>
      </c>
      <c r="N12" s="56">
        <f t="shared" si="2"/>
        <v>0</v>
      </c>
    </row>
    <row r="13" spans="1:14" x14ac:dyDescent="0.25">
      <c r="A13" s="39" t="s">
        <v>45</v>
      </c>
      <c r="B13" s="42">
        <f>SUM(B7:B12)</f>
        <v>77533</v>
      </c>
      <c r="C13" s="42">
        <f>SUM(C7:C12)</f>
        <v>11946</v>
      </c>
      <c r="D13" s="42">
        <f>SUM(D7:D12)</f>
        <v>242338</v>
      </c>
      <c r="E13" s="42">
        <f>SUM(E7:E12)</f>
        <v>0</v>
      </c>
      <c r="F13" s="37" t="s">
        <v>44</v>
      </c>
      <c r="G13" s="37" t="s">
        <v>44</v>
      </c>
      <c r="H13" s="37" t="s">
        <v>44</v>
      </c>
      <c r="I13" s="37" t="s">
        <v>44</v>
      </c>
      <c r="J13" s="58">
        <f>SUM(J7:J12)</f>
        <v>0</v>
      </c>
      <c r="K13" s="58">
        <f>SUM(K7:K12)</f>
        <v>0</v>
      </c>
      <c r="L13" s="58">
        <f>SUM(L7:L12)</f>
        <v>0</v>
      </c>
      <c r="M13" s="37" t="s">
        <v>44</v>
      </c>
      <c r="N13" s="58">
        <f>SUM(N7:N12)</f>
        <v>0</v>
      </c>
    </row>
    <row r="15" spans="1:14" x14ac:dyDescent="0.25">
      <c r="A15" s="39" t="s">
        <v>56</v>
      </c>
      <c r="B15" s="43">
        <f>SUM(B13:E13)</f>
        <v>331817</v>
      </c>
    </row>
    <row r="16" spans="1:14" x14ac:dyDescent="0.25">
      <c r="G16" s="5"/>
    </row>
    <row r="17" spans="1:256" x14ac:dyDescent="0.25">
      <c r="A17" s="108" t="s">
        <v>14</v>
      </c>
      <c r="B17" s="112" t="s">
        <v>53</v>
      </c>
      <c r="C17" s="112"/>
      <c r="D17" s="112"/>
      <c r="E17" s="112"/>
      <c r="F17" s="112" t="s">
        <v>54</v>
      </c>
      <c r="G17" s="112"/>
      <c r="H17" s="112"/>
      <c r="I17" s="112"/>
      <c r="J17" s="98" t="s">
        <v>55</v>
      </c>
      <c r="K17" s="99"/>
      <c r="L17" s="99"/>
      <c r="M17" s="99"/>
      <c r="N17" s="100"/>
    </row>
    <row r="18" spans="1:256" s="27" customFormat="1" ht="12.75" x14ac:dyDescent="0.2">
      <c r="A18" s="108"/>
      <c r="B18" s="38" t="s">
        <v>41</v>
      </c>
      <c r="C18" s="38" t="s">
        <v>42</v>
      </c>
      <c r="D18" s="38" t="s">
        <v>15</v>
      </c>
      <c r="E18" s="38" t="s">
        <v>43</v>
      </c>
      <c r="F18" s="38" t="s">
        <v>41</v>
      </c>
      <c r="G18" s="38" t="s">
        <v>42</v>
      </c>
      <c r="H18" s="38" t="s">
        <v>15</v>
      </c>
      <c r="I18" s="38" t="s">
        <v>43</v>
      </c>
      <c r="J18" s="38" t="s">
        <v>41</v>
      </c>
      <c r="K18" s="38" t="s">
        <v>42</v>
      </c>
      <c r="L18" s="38" t="s">
        <v>15</v>
      </c>
      <c r="M18" s="38" t="s">
        <v>43</v>
      </c>
      <c r="N18" s="44" t="s">
        <v>9</v>
      </c>
    </row>
    <row r="19" spans="1:256" s="27" customFormat="1" ht="12.75" x14ac:dyDescent="0.2">
      <c r="A19" s="36" t="str">
        <f>IF('Instructions &amp; Summary'!$E$4="1H","January","July")</f>
        <v>July</v>
      </c>
      <c r="B19" s="41">
        <f>VLOOKUP($A19,'Bidding Load'!$A$21:$E$32,MATCH(B$18,'Bidding Load'!$A$20:$E$20,0),FALSE)</f>
        <v>32078</v>
      </c>
      <c r="C19" s="41">
        <f>VLOOKUP($A19,'Bidding Load'!$A$21:$E$32,MATCH(C$18,'Bidding Load'!$A$20:$E$20,0),FALSE)</f>
        <v>6426</v>
      </c>
      <c r="D19" s="41">
        <f>VLOOKUP($A19,'Bidding Load'!$A$21:$E$32,MATCH(D$18,'Bidding Load'!$A$20:$E$20,0),FALSE)</f>
        <v>141339</v>
      </c>
      <c r="E19" s="41">
        <f>VLOOKUP($A19,'Bidding Load'!$A$21:$E$32,MATCH(E$18,'Bidding Load'!$A$20:$E$20,0),FALSE)</f>
        <v>345</v>
      </c>
      <c r="F19" s="54"/>
      <c r="G19" s="54"/>
      <c r="H19" s="54"/>
      <c r="I19" s="54"/>
      <c r="J19" s="56">
        <f t="shared" ref="J19:J24" si="3">ROUND(F19,2)*B19</f>
        <v>0</v>
      </c>
      <c r="K19" s="56">
        <f t="shared" ref="K19:M24" si="4">ROUND(G19,2)*C19</f>
        <v>0</v>
      </c>
      <c r="L19" s="56">
        <f t="shared" si="4"/>
        <v>0</v>
      </c>
      <c r="M19" s="56">
        <f t="shared" si="4"/>
        <v>0</v>
      </c>
      <c r="N19" s="56">
        <f t="shared" ref="N19:N24" si="5">SUM(J19:M19)</f>
        <v>0</v>
      </c>
    </row>
    <row r="20" spans="1:256" s="27" customFormat="1" ht="12.75" x14ac:dyDescent="0.2">
      <c r="A20" s="36" t="str">
        <f>IF('Instructions &amp; Summary'!$E$4="1H","February","August")</f>
        <v>August</v>
      </c>
      <c r="B20" s="41">
        <f>VLOOKUP($A20,'Bidding Load'!$A$21:$E$32,MATCH(B$18,'Bidding Load'!$A$20:$E$20,0),FALSE)</f>
        <v>28153</v>
      </c>
      <c r="C20" s="41">
        <f>VLOOKUP($A20,'Bidding Load'!$A$21:$E$32,MATCH(C$18,'Bidding Load'!$A$20:$E$20,0),FALSE)</f>
        <v>5949</v>
      </c>
      <c r="D20" s="41">
        <f>VLOOKUP($A20,'Bidding Load'!$A$21:$E$32,MATCH(D$18,'Bidding Load'!$A$20:$E$20,0),FALSE)</f>
        <v>123941</v>
      </c>
      <c r="E20" s="41">
        <f>VLOOKUP($A20,'Bidding Load'!$A$21:$E$32,MATCH(E$18,'Bidding Load'!$A$20:$E$20,0),FALSE)</f>
        <v>367</v>
      </c>
      <c r="F20" s="54"/>
      <c r="G20" s="54"/>
      <c r="H20" s="54"/>
      <c r="I20" s="54"/>
      <c r="J20" s="56">
        <f t="shared" si="3"/>
        <v>0</v>
      </c>
      <c r="K20" s="56">
        <f t="shared" si="4"/>
        <v>0</v>
      </c>
      <c r="L20" s="56">
        <f t="shared" si="4"/>
        <v>0</v>
      </c>
      <c r="M20" s="56">
        <f t="shared" si="4"/>
        <v>0</v>
      </c>
      <c r="N20" s="56">
        <f t="shared" si="5"/>
        <v>0</v>
      </c>
    </row>
    <row r="21" spans="1:256" s="27" customFormat="1" ht="12.75" x14ac:dyDescent="0.2">
      <c r="A21" s="36" t="str">
        <f>IF('Instructions &amp; Summary'!$E$4="1H","March","September")</f>
        <v>September</v>
      </c>
      <c r="B21" s="41">
        <f>VLOOKUP($A21,'Bidding Load'!$A$21:$E$32,MATCH(B$18,'Bidding Load'!$A$20:$E$20,0),FALSE)</f>
        <v>25978</v>
      </c>
      <c r="C21" s="41">
        <f>VLOOKUP($A21,'Bidding Load'!$A$21:$E$32,MATCH(C$18,'Bidding Load'!$A$20:$E$20,0),FALSE)</f>
        <v>5498</v>
      </c>
      <c r="D21" s="41">
        <f>VLOOKUP($A21,'Bidding Load'!$A$21:$E$32,MATCH(D$18,'Bidding Load'!$A$20:$E$20,0),FALSE)</f>
        <v>96191</v>
      </c>
      <c r="E21" s="41">
        <f>VLOOKUP($A21,'Bidding Load'!$A$21:$E$32,MATCH(E$18,'Bidding Load'!$A$20:$E$20,0),FALSE)</f>
        <v>460</v>
      </c>
      <c r="F21" s="54"/>
      <c r="G21" s="54"/>
      <c r="H21" s="54"/>
      <c r="I21" s="54"/>
      <c r="J21" s="56">
        <f t="shared" si="3"/>
        <v>0</v>
      </c>
      <c r="K21" s="56">
        <f t="shared" si="4"/>
        <v>0</v>
      </c>
      <c r="L21" s="56">
        <f t="shared" si="4"/>
        <v>0</v>
      </c>
      <c r="M21" s="56">
        <f t="shared" si="4"/>
        <v>0</v>
      </c>
      <c r="N21" s="56">
        <f t="shared" si="5"/>
        <v>0</v>
      </c>
    </row>
    <row r="22" spans="1:256" s="27" customFormat="1" ht="12.75" x14ac:dyDescent="0.2">
      <c r="A22" s="36" t="str">
        <f>IF('Instructions &amp; Summary'!$E$4="1H","April","October")</f>
        <v>October</v>
      </c>
      <c r="B22" s="41">
        <f>VLOOKUP($A22,'Bidding Load'!$A$21:$E$32,MATCH(B$18,'Bidding Load'!$A$20:$E$20,0),FALSE)</f>
        <v>26714</v>
      </c>
      <c r="C22" s="41">
        <f>VLOOKUP($A22,'Bidding Load'!$A$21:$E$32,MATCH(C$18,'Bidding Load'!$A$20:$E$20,0),FALSE)</f>
        <v>6162</v>
      </c>
      <c r="D22" s="41">
        <f>VLOOKUP($A22,'Bidding Load'!$A$21:$E$32,MATCH(D$18,'Bidding Load'!$A$20:$E$20,0),FALSE)</f>
        <v>81753</v>
      </c>
      <c r="E22" s="41">
        <f>VLOOKUP($A22,'Bidding Load'!$A$21:$E$32,MATCH(E$18,'Bidding Load'!$A$20:$E$20,0),FALSE)</f>
        <v>665</v>
      </c>
      <c r="F22" s="54"/>
      <c r="G22" s="54"/>
      <c r="H22" s="54"/>
      <c r="I22" s="54"/>
      <c r="J22" s="56">
        <f t="shared" si="3"/>
        <v>0</v>
      </c>
      <c r="K22" s="56">
        <f t="shared" si="4"/>
        <v>0</v>
      </c>
      <c r="L22" s="56">
        <f t="shared" si="4"/>
        <v>0</v>
      </c>
      <c r="M22" s="56">
        <f t="shared" si="4"/>
        <v>0</v>
      </c>
      <c r="N22" s="56">
        <f t="shared" si="5"/>
        <v>0</v>
      </c>
    </row>
    <row r="23" spans="1:256" s="27" customFormat="1" ht="12.75" x14ac:dyDescent="0.2">
      <c r="A23" s="36" t="str">
        <f>IF('Instructions &amp; Summary'!$E$4="1H","May","November")</f>
        <v>November</v>
      </c>
      <c r="B23" s="41">
        <f>VLOOKUP($A23,'Bidding Load'!$A$21:$E$32,MATCH(B$18,'Bidding Load'!$A$20:$E$20,0),FALSE)</f>
        <v>27893</v>
      </c>
      <c r="C23" s="41">
        <f>VLOOKUP($A23,'Bidding Load'!$A$21:$E$32,MATCH(C$18,'Bidding Load'!$A$20:$E$20,0),FALSE)</f>
        <v>6295</v>
      </c>
      <c r="D23" s="41">
        <f>VLOOKUP($A23,'Bidding Load'!$A$21:$E$32,MATCH(D$18,'Bidding Load'!$A$20:$E$20,0),FALSE)</f>
        <v>91157</v>
      </c>
      <c r="E23" s="41">
        <f>VLOOKUP($A23,'Bidding Load'!$A$21:$E$32,MATCH(E$18,'Bidding Load'!$A$20:$E$20,0),FALSE)</f>
        <v>786</v>
      </c>
      <c r="F23" s="54"/>
      <c r="G23" s="54"/>
      <c r="H23" s="54"/>
      <c r="I23" s="54"/>
      <c r="J23" s="56">
        <f t="shared" si="3"/>
        <v>0</v>
      </c>
      <c r="K23" s="56">
        <f t="shared" si="4"/>
        <v>0</v>
      </c>
      <c r="L23" s="56">
        <f t="shared" si="4"/>
        <v>0</v>
      </c>
      <c r="M23" s="56">
        <f t="shared" si="4"/>
        <v>0</v>
      </c>
      <c r="N23" s="56">
        <f t="shared" si="5"/>
        <v>0</v>
      </c>
    </row>
    <row r="24" spans="1:256" s="27" customFormat="1" ht="12.75" x14ac:dyDescent="0.2">
      <c r="A24" s="36" t="str">
        <f>IF('Instructions &amp; Summary'!$E$4="1H","June","December")</f>
        <v>December</v>
      </c>
      <c r="B24" s="41">
        <f>VLOOKUP($A24,'Bidding Load'!$A$21:$E$32,MATCH(B$18,'Bidding Load'!$A$20:$E$20,0),FALSE)</f>
        <v>28948</v>
      </c>
      <c r="C24" s="41">
        <f>VLOOKUP($A24,'Bidding Load'!$A$21:$E$32,MATCH(C$18,'Bidding Load'!$A$20:$E$20,0),FALSE)</f>
        <v>5445</v>
      </c>
      <c r="D24" s="41">
        <f>VLOOKUP($A24,'Bidding Load'!$A$21:$E$32,MATCH(D$18,'Bidding Load'!$A$20:$E$20,0),FALSE)</f>
        <v>118265</v>
      </c>
      <c r="E24" s="41">
        <f>VLOOKUP($A24,'Bidding Load'!$A$21:$E$32,MATCH(E$18,'Bidding Load'!$A$20:$E$20,0),FALSE)</f>
        <v>724</v>
      </c>
      <c r="F24" s="54"/>
      <c r="G24" s="54"/>
      <c r="H24" s="54"/>
      <c r="I24" s="54"/>
      <c r="J24" s="56">
        <f t="shared" si="3"/>
        <v>0</v>
      </c>
      <c r="K24" s="56">
        <f t="shared" si="4"/>
        <v>0</v>
      </c>
      <c r="L24" s="56">
        <f t="shared" si="4"/>
        <v>0</v>
      </c>
      <c r="M24" s="56">
        <f t="shared" si="4"/>
        <v>0</v>
      </c>
      <c r="N24" s="56">
        <f t="shared" si="5"/>
        <v>0</v>
      </c>
    </row>
    <row r="25" spans="1:256" x14ac:dyDescent="0.25">
      <c r="A25" s="39" t="s">
        <v>45</v>
      </c>
      <c r="B25" s="42">
        <f>SUM(B19:B24)</f>
        <v>169764</v>
      </c>
      <c r="C25" s="42">
        <f>SUM(C19:C24)</f>
        <v>35775</v>
      </c>
      <c r="D25" s="42">
        <f>SUM(D19:D24)</f>
        <v>652646</v>
      </c>
      <c r="E25" s="42">
        <f>SUM(E19:E24)</f>
        <v>3347</v>
      </c>
      <c r="F25" s="37" t="s">
        <v>44</v>
      </c>
      <c r="G25" s="37" t="s">
        <v>44</v>
      </c>
      <c r="H25" s="37" t="s">
        <v>44</v>
      </c>
      <c r="I25" s="37" t="s">
        <v>44</v>
      </c>
      <c r="J25" s="58">
        <f>SUM(J19:J24)</f>
        <v>0</v>
      </c>
      <c r="K25" s="58">
        <f>SUM(K19:K24)</f>
        <v>0</v>
      </c>
      <c r="L25" s="58">
        <f>SUM(L19:L24)</f>
        <v>0</v>
      </c>
      <c r="M25" s="58">
        <f>SUM(M19:M24)</f>
        <v>0</v>
      </c>
      <c r="N25" s="58">
        <f>SUM(N19:N24)</f>
        <v>0</v>
      </c>
      <c r="O25" s="28"/>
      <c r="P25" s="29"/>
      <c r="Q25" s="29"/>
      <c r="R25" s="29"/>
      <c r="S25" s="29"/>
      <c r="T25" s="28"/>
      <c r="U25" s="3"/>
      <c r="V25" s="3"/>
      <c r="W25" s="3"/>
      <c r="X25" s="30"/>
      <c r="Y25" s="30"/>
      <c r="Z25" s="30"/>
      <c r="AA25" s="31"/>
      <c r="AB25" s="30"/>
      <c r="AC25" s="28"/>
      <c r="AD25" s="29"/>
      <c r="AE25" s="29"/>
      <c r="AF25" s="29"/>
      <c r="AG25" s="29"/>
      <c r="AH25" s="28"/>
      <c r="AI25" s="3"/>
      <c r="AJ25" s="3"/>
      <c r="AK25" s="3"/>
      <c r="AL25" s="30"/>
      <c r="AM25" s="30"/>
      <c r="AN25" s="30"/>
      <c r="AO25" s="31"/>
      <c r="AP25" s="30"/>
      <c r="AQ25" s="28"/>
      <c r="AR25" s="29"/>
      <c r="AS25" s="29"/>
      <c r="AT25" s="29"/>
      <c r="AU25" s="29"/>
      <c r="AV25" s="28"/>
      <c r="AW25" s="3"/>
      <c r="AX25" s="3"/>
      <c r="AY25" s="3"/>
      <c r="AZ25" s="30"/>
      <c r="BA25" s="30"/>
      <c r="BB25" s="30"/>
      <c r="BC25" s="31"/>
      <c r="BD25" s="30"/>
      <c r="BE25" s="28"/>
      <c r="BF25" s="29"/>
      <c r="BG25" s="29"/>
      <c r="BH25" s="29"/>
      <c r="BI25" s="29"/>
      <c r="BJ25" s="28"/>
      <c r="BK25" s="3"/>
      <c r="BL25" s="3"/>
      <c r="BM25" s="3"/>
      <c r="BN25" s="30"/>
      <c r="BO25" s="30"/>
      <c r="BP25" s="30"/>
      <c r="BQ25" s="31"/>
      <c r="BR25" s="30"/>
      <c r="BS25" s="28"/>
      <c r="BT25" s="29"/>
      <c r="BU25" s="29"/>
      <c r="BV25" s="29"/>
      <c r="BW25" s="29"/>
      <c r="BX25" s="28"/>
      <c r="BY25" s="3"/>
      <c r="BZ25" s="3"/>
      <c r="CA25" s="3"/>
      <c r="CB25" s="30"/>
      <c r="CC25" s="30"/>
      <c r="CD25" s="30"/>
      <c r="CE25" s="31"/>
      <c r="CF25" s="30"/>
      <c r="CG25" s="28"/>
      <c r="CH25" s="29"/>
      <c r="CI25" s="29"/>
      <c r="CJ25" s="29"/>
      <c r="CK25" s="29"/>
      <c r="CL25" s="28"/>
      <c r="CM25" s="3"/>
      <c r="CN25" s="3"/>
      <c r="CO25" s="3"/>
      <c r="CP25" s="30"/>
      <c r="CQ25" s="30"/>
      <c r="CR25" s="30"/>
      <c r="CS25" s="31"/>
      <c r="CT25" s="30"/>
      <c r="CU25" s="28"/>
      <c r="CV25" s="29"/>
      <c r="CW25" s="29"/>
      <c r="CX25" s="29"/>
      <c r="CY25" s="29"/>
      <c r="CZ25" s="28"/>
      <c r="DA25" s="3"/>
      <c r="DB25" s="3"/>
      <c r="DC25" s="3"/>
      <c r="DD25" s="30"/>
      <c r="DE25" s="30"/>
      <c r="DF25" s="30"/>
      <c r="DG25" s="31"/>
      <c r="DH25" s="30"/>
      <c r="DI25" s="28"/>
      <c r="DJ25" s="29"/>
      <c r="DK25" s="29"/>
      <c r="DL25" s="29"/>
      <c r="DM25" s="29"/>
      <c r="DN25" s="28"/>
      <c r="DO25" s="3"/>
      <c r="DP25" s="3"/>
      <c r="DQ25" s="3"/>
      <c r="DR25" s="30"/>
      <c r="DS25" s="30"/>
      <c r="DT25" s="30"/>
      <c r="DU25" s="31"/>
      <c r="DV25" s="30"/>
      <c r="DW25" s="28"/>
      <c r="DX25" s="29"/>
      <c r="DY25" s="29"/>
      <c r="DZ25" s="29"/>
      <c r="EA25" s="29"/>
      <c r="EB25" s="28"/>
      <c r="EC25" s="3"/>
      <c r="ED25" s="3"/>
      <c r="EE25" s="3"/>
      <c r="EF25" s="30"/>
      <c r="EG25" s="30"/>
      <c r="EH25" s="30"/>
      <c r="EI25" s="31"/>
      <c r="EJ25" s="30"/>
      <c r="EK25" s="28"/>
      <c r="EL25" s="29"/>
      <c r="EM25" s="29"/>
      <c r="EN25" s="29"/>
      <c r="EO25" s="29"/>
      <c r="EP25" s="28"/>
      <c r="EQ25" s="3"/>
      <c r="ER25" s="3"/>
      <c r="ES25" s="3"/>
      <c r="ET25" s="30"/>
      <c r="EU25" s="30"/>
      <c r="EV25" s="30"/>
      <c r="EW25" s="31"/>
      <c r="EX25" s="30"/>
      <c r="EY25" s="28"/>
      <c r="EZ25" s="29"/>
      <c r="FA25" s="29"/>
      <c r="FB25" s="29"/>
      <c r="FC25" s="29"/>
      <c r="FD25" s="28"/>
      <c r="FE25" s="3"/>
      <c r="FF25" s="3"/>
      <c r="FG25" s="3"/>
      <c r="FH25" s="30"/>
      <c r="FI25" s="30"/>
      <c r="FJ25" s="30"/>
      <c r="FK25" s="31"/>
      <c r="FL25" s="30"/>
      <c r="FM25" s="28"/>
      <c r="FN25" s="29"/>
      <c r="FO25" s="29"/>
      <c r="FP25" s="29"/>
      <c r="FQ25" s="29"/>
      <c r="FR25" s="28"/>
      <c r="FS25" s="3"/>
      <c r="FT25" s="3"/>
      <c r="FU25" s="3"/>
      <c r="FV25" s="30"/>
      <c r="FW25" s="30"/>
      <c r="FX25" s="30"/>
      <c r="FY25" s="31"/>
      <c r="FZ25" s="30"/>
      <c r="GA25" s="28"/>
      <c r="GB25" s="29"/>
      <c r="GC25" s="29"/>
      <c r="GD25" s="29"/>
      <c r="GE25" s="29"/>
      <c r="GF25" s="28"/>
      <c r="GG25" s="3"/>
      <c r="GH25" s="3"/>
      <c r="GI25" s="3"/>
      <c r="GJ25" s="30"/>
      <c r="GK25" s="30"/>
      <c r="GL25" s="30"/>
      <c r="GM25" s="31"/>
      <c r="GN25" s="30"/>
      <c r="GO25" s="28"/>
      <c r="GP25" s="29"/>
      <c r="GQ25" s="29"/>
      <c r="GR25" s="29"/>
      <c r="GS25" s="29"/>
      <c r="GT25" s="28"/>
      <c r="GU25" s="3"/>
      <c r="GV25" s="3"/>
      <c r="GW25" s="3"/>
      <c r="GX25" s="30"/>
      <c r="GY25" s="30"/>
      <c r="GZ25" s="30"/>
      <c r="HA25" s="31"/>
      <c r="HB25" s="30"/>
      <c r="HC25" s="28"/>
      <c r="HD25" s="29"/>
      <c r="HE25" s="29"/>
      <c r="HF25" s="29"/>
      <c r="HG25" s="29"/>
      <c r="HH25" s="28"/>
      <c r="HI25" s="3"/>
      <c r="HJ25" s="3"/>
      <c r="HK25" s="3"/>
      <c r="HL25" s="30"/>
      <c r="HM25" s="30"/>
      <c r="HN25" s="30"/>
      <c r="HO25" s="31"/>
      <c r="HP25" s="30"/>
      <c r="HQ25" s="28"/>
      <c r="HR25" s="29"/>
      <c r="HS25" s="29"/>
      <c r="HT25" s="29"/>
      <c r="HU25" s="29"/>
      <c r="HV25" s="28"/>
      <c r="HW25" s="3"/>
      <c r="HX25" s="3"/>
      <c r="HY25" s="3"/>
      <c r="HZ25" s="30"/>
      <c r="IA25" s="30"/>
      <c r="IB25" s="30"/>
      <c r="IC25" s="31"/>
      <c r="ID25" s="30"/>
      <c r="IE25" s="28"/>
      <c r="IF25" s="29"/>
      <c r="IG25" s="29"/>
      <c r="IH25" s="29"/>
      <c r="II25" s="29"/>
      <c r="IJ25" s="28"/>
      <c r="IK25" s="3"/>
      <c r="IL25" s="3"/>
      <c r="IM25" s="3"/>
      <c r="IN25" s="30"/>
      <c r="IO25" s="30"/>
      <c r="IP25" s="30"/>
      <c r="IQ25" s="31"/>
      <c r="IR25" s="30"/>
      <c r="IS25" s="28"/>
      <c r="IT25" s="29"/>
      <c r="IU25" s="29"/>
      <c r="IV25" s="29"/>
    </row>
    <row r="27" spans="1:256" x14ac:dyDescent="0.25">
      <c r="A27" s="39" t="s">
        <v>57</v>
      </c>
      <c r="B27" s="43">
        <f>SUM(B25:E25)</f>
        <v>861532</v>
      </c>
      <c r="E27" s="102" t="s">
        <v>47</v>
      </c>
      <c r="F27" s="103"/>
      <c r="G27" s="103"/>
      <c r="H27" s="103"/>
      <c r="I27" s="104"/>
    </row>
    <row r="28" spans="1:256" x14ac:dyDescent="0.25">
      <c r="E28" s="50"/>
      <c r="F28" s="51"/>
      <c r="G28" s="52"/>
      <c r="H28" s="52"/>
      <c r="I28" s="53"/>
    </row>
    <row r="29" spans="1:256" x14ac:dyDescent="0.25">
      <c r="A29" s="48" t="s">
        <v>61</v>
      </c>
      <c r="B29" s="43">
        <f>B15+B27</f>
        <v>1193349</v>
      </c>
      <c r="E29" s="109" t="str">
        <f>'Instructions &amp; Summary'!$A$18</f>
        <v>SAMPLE - Bidder "X"- NOT TO BE USED FOR BID SUBMITTAL</v>
      </c>
      <c r="F29" s="110"/>
      <c r="G29" s="110"/>
      <c r="H29" s="110"/>
      <c r="I29" s="111"/>
    </row>
    <row r="30" spans="1:256" x14ac:dyDescent="0.25">
      <c r="E30" s="109" t="str">
        <f>'Instructions &amp; Summary'!$A$19</f>
        <v>Bidder "X"</v>
      </c>
      <c r="F30" s="110"/>
      <c r="G30" s="110"/>
      <c r="H30" s="110"/>
      <c r="I30" s="111"/>
    </row>
    <row r="31" spans="1:256" ht="12.75" customHeight="1" x14ac:dyDescent="0.25">
      <c r="A31" s="48" t="str">
        <f>A3</f>
        <v>UI SS Tranche 6</v>
      </c>
      <c r="B31" s="38" t="s">
        <v>62</v>
      </c>
      <c r="C31" s="38" t="s">
        <v>46</v>
      </c>
      <c r="E31" s="105" t="str">
        <f>B3</f>
        <v>July 1, 2027 through December 31, 2027 - 10% of the SS TOTAL load</v>
      </c>
      <c r="F31" s="113"/>
      <c r="G31" s="113"/>
      <c r="H31" s="113"/>
      <c r="I31" s="114"/>
    </row>
    <row r="32" spans="1:256" ht="12.75" customHeight="1" x14ac:dyDescent="0.25">
      <c r="A32" s="49" t="s">
        <v>58</v>
      </c>
      <c r="B32" s="61">
        <f>N13</f>
        <v>0</v>
      </c>
      <c r="C32" s="62">
        <f>ROUND(B32/B15,2)</f>
        <v>0</v>
      </c>
    </row>
    <row r="33" spans="1:8" ht="12.75" customHeight="1" x14ac:dyDescent="0.25">
      <c r="A33" s="49" t="s">
        <v>59</v>
      </c>
      <c r="B33" s="61">
        <f>N25</f>
        <v>0</v>
      </c>
      <c r="C33" s="62">
        <f>ROUND(B33/B27,2)</f>
        <v>0</v>
      </c>
      <c r="D33" s="7"/>
    </row>
    <row r="34" spans="1:8" ht="12.75" customHeight="1" x14ac:dyDescent="0.25">
      <c r="A34" s="55" t="s">
        <v>60</v>
      </c>
      <c r="B34" s="63">
        <f>SUM(B32:B33)</f>
        <v>0</v>
      </c>
      <c r="C34" s="64">
        <f>ROUND(B34/B29,2)</f>
        <v>0</v>
      </c>
    </row>
    <row r="35" spans="1:8" ht="30" customHeight="1" x14ac:dyDescent="0.25">
      <c r="A35" s="45"/>
      <c r="B35" s="46"/>
      <c r="C35" s="47"/>
    </row>
    <row r="36" spans="1:8" x14ac:dyDescent="0.25">
      <c r="A36" s="45"/>
      <c r="B36" s="46"/>
      <c r="C36" s="47"/>
      <c r="H36" s="32"/>
    </row>
  </sheetData>
  <sheetProtection algorithmName="SHA-512" hashValue="ww4shatVxQFXS1baKhd8ADMlX2RcixNxW00I2ZVrjYKfeuSwRsFi6sABJiJtuAK+U7YaUpf1eB+7ViQlfhGJoQ==" saltValue="CAgCGsOhZ+C5sf5oGE9hXw==" spinCount="100000" sheet="1" objects="1" scenarios="1"/>
  <mergeCells count="13">
    <mergeCell ref="A1:N1"/>
    <mergeCell ref="J17:N17"/>
    <mergeCell ref="E27:I27"/>
    <mergeCell ref="A5:A6"/>
    <mergeCell ref="B5:E5"/>
    <mergeCell ref="F5:I5"/>
    <mergeCell ref="J5:N5"/>
    <mergeCell ref="E29:I29"/>
    <mergeCell ref="E30:I30"/>
    <mergeCell ref="E31:I31"/>
    <mergeCell ref="A17:A18"/>
    <mergeCell ref="B17:E17"/>
    <mergeCell ref="F17:I17"/>
  </mergeCells>
  <pageMargins left="0.7" right="0.7" top="0.75" bottom="0.75" header="0.3" footer="0.3"/>
  <pageSetup scale="56" fitToHeight="0" orientation="landscape" r:id="rId1"/>
  <headerFooter>
    <oddHeader xml:space="preserve">&amp;L&amp;"Arial,Bold"&amp;10The United Illuminating Company
Docket No: 26-01-02
&amp;C&amp;"Arial,Bold"&amp;10CONFIDENTIAL
&amp;A&amp;R&amp;"Arial,Bold"&amp;10UI Attachment 2a
Page 8 of 12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V36"/>
  <sheetViews>
    <sheetView view="pageLayout" zoomScale="80" zoomScaleNormal="100" zoomScalePageLayoutView="80" workbookViewId="0">
      <selection activeCell="A27" sqref="A27:F27"/>
    </sheetView>
  </sheetViews>
  <sheetFormatPr defaultRowHeight="15" x14ac:dyDescent="0.25"/>
  <cols>
    <col min="1" max="1" width="21.42578125" style="35" customWidth="1"/>
    <col min="2" max="5" width="14.28515625" customWidth="1"/>
    <col min="6" max="8" width="13.42578125" customWidth="1"/>
    <col min="9" max="9" width="12.28515625" customWidth="1"/>
    <col min="10" max="12" width="17" customWidth="1"/>
    <col min="13" max="13" width="14.28515625" customWidth="1"/>
    <col min="14" max="14" width="17.5703125" customWidth="1"/>
  </cols>
  <sheetData>
    <row r="1" spans="1:14" ht="18" x14ac:dyDescent="0.25">
      <c r="A1" s="101" t="str">
        <f>'Instructions &amp; Summary'!A1</f>
        <v>CONFIDENTIAL UNTIL 10/20/2026</v>
      </c>
      <c r="B1" s="101"/>
      <c r="C1" s="101"/>
      <c r="D1" s="101"/>
      <c r="E1" s="101"/>
      <c r="F1" s="101"/>
      <c r="G1" s="101"/>
      <c r="H1" s="101"/>
      <c r="I1" s="101"/>
      <c r="J1" s="101"/>
      <c r="K1" s="101"/>
      <c r="L1" s="101"/>
      <c r="M1" s="101"/>
      <c r="N1" s="101"/>
    </row>
    <row r="3" spans="1:14" ht="15.75" x14ac:dyDescent="0.25">
      <c r="A3" s="34" t="s">
        <v>8</v>
      </c>
      <c r="B3" s="33" t="str">
        <f>VLOOKUP($A$3,'Instructions &amp; Summary'!$A$7:$B$14,2,FALSE)</f>
        <v>July 1, 2027 through December 31, 2027 - 10% of the SS TOTAL load</v>
      </c>
      <c r="C3" s="26"/>
      <c r="D3" s="26"/>
      <c r="E3" s="26"/>
      <c r="F3" s="26"/>
      <c r="G3" s="5"/>
    </row>
    <row r="4" spans="1:14" ht="15.75" x14ac:dyDescent="0.25">
      <c r="A4" s="34"/>
      <c r="B4" s="33"/>
      <c r="C4" s="26"/>
      <c r="D4" s="26"/>
      <c r="E4" s="26"/>
      <c r="F4" s="26"/>
      <c r="G4" s="5"/>
    </row>
    <row r="5" spans="1:14" x14ac:dyDescent="0.25">
      <c r="A5" s="108" t="s">
        <v>14</v>
      </c>
      <c r="B5" s="112" t="s">
        <v>50</v>
      </c>
      <c r="C5" s="112"/>
      <c r="D5" s="112"/>
      <c r="E5" s="112"/>
      <c r="F5" s="112" t="s">
        <v>51</v>
      </c>
      <c r="G5" s="112"/>
      <c r="H5" s="112"/>
      <c r="I5" s="112"/>
      <c r="J5" s="98" t="s">
        <v>52</v>
      </c>
      <c r="K5" s="99"/>
      <c r="L5" s="99"/>
      <c r="M5" s="99"/>
      <c r="N5" s="100"/>
    </row>
    <row r="6" spans="1:14" s="27" customFormat="1" ht="12.75" x14ac:dyDescent="0.2">
      <c r="A6" s="108"/>
      <c r="B6" s="38" t="s">
        <v>41</v>
      </c>
      <c r="C6" s="38" t="s">
        <v>42</v>
      </c>
      <c r="D6" s="38" t="s">
        <v>15</v>
      </c>
      <c r="E6" s="38" t="s">
        <v>43</v>
      </c>
      <c r="F6" s="38" t="s">
        <v>41</v>
      </c>
      <c r="G6" s="38" t="s">
        <v>42</v>
      </c>
      <c r="H6" s="38" t="s">
        <v>15</v>
      </c>
      <c r="I6" s="38" t="s">
        <v>43</v>
      </c>
      <c r="J6" s="38" t="s">
        <v>41</v>
      </c>
      <c r="K6" s="38" t="s">
        <v>42</v>
      </c>
      <c r="L6" s="38" t="s">
        <v>15</v>
      </c>
      <c r="M6" s="38" t="s">
        <v>43</v>
      </c>
      <c r="N6" s="44" t="s">
        <v>9</v>
      </c>
    </row>
    <row r="7" spans="1:14" s="27" customFormat="1" ht="12.75" x14ac:dyDescent="0.2">
      <c r="A7" s="36" t="str">
        <f>IF('Instructions &amp; Summary'!$E$4="1H","January","July")</f>
        <v>July</v>
      </c>
      <c r="B7" s="41">
        <f>VLOOKUP($A7,'Bidding Load'!$A$5:$E$16,MATCH(B$6,'Bidding Load'!$A$4:$E$4,0),FALSE)</f>
        <v>17019</v>
      </c>
      <c r="C7" s="41">
        <f>VLOOKUP($A7,'Bidding Load'!$A$5:$E$16,MATCH(C$6,'Bidding Load'!$A$4:$E$4,0),FALSE)</f>
        <v>2387</v>
      </c>
      <c r="D7" s="41">
        <f>VLOOKUP($A7,'Bidding Load'!$A$5:$E$16,MATCH(D$6,'Bidding Load'!$A$4:$E$4,0),FALSE)</f>
        <v>63150</v>
      </c>
      <c r="E7" s="41">
        <f>VLOOKUP($A7,'Bidding Load'!$A$5:$E$16,MATCH(E$6,'Bidding Load'!$A$4:$E$4,0),FALSE)</f>
        <v>0</v>
      </c>
      <c r="F7" s="54"/>
      <c r="G7" s="54"/>
      <c r="H7" s="54"/>
      <c r="I7" s="59" t="s">
        <v>44</v>
      </c>
      <c r="J7" s="56">
        <f t="shared" ref="J7:J12" si="0">ROUND(F7,2)*B7</f>
        <v>0</v>
      </c>
      <c r="K7" s="56">
        <f t="shared" ref="K7:L12" si="1">ROUND(G7,2)*C7</f>
        <v>0</v>
      </c>
      <c r="L7" s="56">
        <f t="shared" si="1"/>
        <v>0</v>
      </c>
      <c r="M7" s="40" t="s">
        <v>44</v>
      </c>
      <c r="N7" s="56">
        <f t="shared" ref="N7:N12" si="2">SUM(J7:L7)</f>
        <v>0</v>
      </c>
    </row>
    <row r="8" spans="1:14" s="27" customFormat="1" ht="12.75" x14ac:dyDescent="0.2">
      <c r="A8" s="36" t="str">
        <f>IF('Instructions &amp; Summary'!$E$4="1H","February","August")</f>
        <v>August</v>
      </c>
      <c r="B8" s="41">
        <f>VLOOKUP($A8,'Bidding Load'!$A$5:$E$16,MATCH(B$6,'Bidding Load'!$A$4:$E$4,0),FALSE)</f>
        <v>13107</v>
      </c>
      <c r="C8" s="41">
        <f>VLOOKUP($A8,'Bidding Load'!$A$5:$E$16,MATCH(C$6,'Bidding Load'!$A$4:$E$4,0),FALSE)</f>
        <v>1943</v>
      </c>
      <c r="D8" s="41">
        <f>VLOOKUP($A8,'Bidding Load'!$A$5:$E$16,MATCH(D$6,'Bidding Load'!$A$4:$E$4,0),FALSE)</f>
        <v>45464</v>
      </c>
      <c r="E8" s="41">
        <f>VLOOKUP($A8,'Bidding Load'!$A$5:$E$16,MATCH(E$6,'Bidding Load'!$A$4:$E$4,0),FALSE)</f>
        <v>0</v>
      </c>
      <c r="F8" s="54"/>
      <c r="G8" s="54"/>
      <c r="H8" s="54"/>
      <c r="I8" s="59" t="s">
        <v>44</v>
      </c>
      <c r="J8" s="56">
        <f t="shared" si="0"/>
        <v>0</v>
      </c>
      <c r="K8" s="56">
        <f t="shared" si="1"/>
        <v>0</v>
      </c>
      <c r="L8" s="56">
        <f t="shared" si="1"/>
        <v>0</v>
      </c>
      <c r="M8" s="40" t="s">
        <v>44</v>
      </c>
      <c r="N8" s="56">
        <f t="shared" si="2"/>
        <v>0</v>
      </c>
    </row>
    <row r="9" spans="1:14" s="27" customFormat="1" ht="12.75" x14ac:dyDescent="0.2">
      <c r="A9" s="36" t="str">
        <f>IF('Instructions &amp; Summary'!$E$4="1H","March","September")</f>
        <v>September</v>
      </c>
      <c r="B9" s="41">
        <f>VLOOKUP($A9,'Bidding Load'!$A$5:$E$16,MATCH(B$6,'Bidding Load'!$A$4:$E$4,0),FALSE)</f>
        <v>12516</v>
      </c>
      <c r="C9" s="41">
        <f>VLOOKUP($A9,'Bidding Load'!$A$5:$E$16,MATCH(C$6,'Bidding Load'!$A$4:$E$4,0),FALSE)</f>
        <v>1886</v>
      </c>
      <c r="D9" s="41">
        <f>VLOOKUP($A9,'Bidding Load'!$A$5:$E$16,MATCH(D$6,'Bidding Load'!$A$4:$E$4,0),FALSE)</f>
        <v>35046</v>
      </c>
      <c r="E9" s="41">
        <f>VLOOKUP($A9,'Bidding Load'!$A$5:$E$16,MATCH(E$6,'Bidding Load'!$A$4:$E$4,0),FALSE)</f>
        <v>0</v>
      </c>
      <c r="F9" s="54"/>
      <c r="G9" s="54"/>
      <c r="H9" s="54"/>
      <c r="I9" s="59" t="s">
        <v>44</v>
      </c>
      <c r="J9" s="56">
        <f t="shared" si="0"/>
        <v>0</v>
      </c>
      <c r="K9" s="56">
        <f t="shared" si="1"/>
        <v>0</v>
      </c>
      <c r="L9" s="56">
        <f t="shared" si="1"/>
        <v>0</v>
      </c>
      <c r="M9" s="40" t="s">
        <v>44</v>
      </c>
      <c r="N9" s="56">
        <f t="shared" si="2"/>
        <v>0</v>
      </c>
    </row>
    <row r="10" spans="1:14" s="27" customFormat="1" ht="12.75" x14ac:dyDescent="0.2">
      <c r="A10" s="36" t="str">
        <f>IF('Instructions &amp; Summary'!$E$4="1H","April","October")</f>
        <v>October</v>
      </c>
      <c r="B10" s="41">
        <f>VLOOKUP($A10,'Bidding Load'!$A$5:$E$16,MATCH(B$6,'Bidding Load'!$A$4:$E$4,0),FALSE)</f>
        <v>11946</v>
      </c>
      <c r="C10" s="41">
        <f>VLOOKUP($A10,'Bidding Load'!$A$5:$E$16,MATCH(C$6,'Bidding Load'!$A$4:$E$4,0),FALSE)</f>
        <v>2027</v>
      </c>
      <c r="D10" s="41">
        <f>VLOOKUP($A10,'Bidding Load'!$A$5:$E$16,MATCH(D$6,'Bidding Load'!$A$4:$E$4,0),FALSE)</f>
        <v>26925</v>
      </c>
      <c r="E10" s="41">
        <f>VLOOKUP($A10,'Bidding Load'!$A$5:$E$16,MATCH(E$6,'Bidding Load'!$A$4:$E$4,0),FALSE)</f>
        <v>0</v>
      </c>
      <c r="F10" s="54"/>
      <c r="G10" s="54"/>
      <c r="H10" s="54"/>
      <c r="I10" s="59" t="s">
        <v>44</v>
      </c>
      <c r="J10" s="56">
        <f t="shared" si="0"/>
        <v>0</v>
      </c>
      <c r="K10" s="56">
        <f t="shared" si="1"/>
        <v>0</v>
      </c>
      <c r="L10" s="56">
        <f t="shared" si="1"/>
        <v>0</v>
      </c>
      <c r="M10" s="40" t="s">
        <v>44</v>
      </c>
      <c r="N10" s="56">
        <f t="shared" si="2"/>
        <v>0</v>
      </c>
    </row>
    <row r="11" spans="1:14" s="27" customFormat="1" ht="12.75" x14ac:dyDescent="0.2">
      <c r="A11" s="36" t="str">
        <f>IF('Instructions &amp; Summary'!$E$4="1H","May","November")</f>
        <v>November</v>
      </c>
      <c r="B11" s="41">
        <f>VLOOKUP($A11,'Bidding Load'!$A$5:$E$16,MATCH(B$6,'Bidding Load'!$A$4:$E$4,0),FALSE)</f>
        <v>10527</v>
      </c>
      <c r="C11" s="41">
        <f>VLOOKUP($A11,'Bidding Load'!$A$5:$E$16,MATCH(C$6,'Bidding Load'!$A$4:$E$4,0),FALSE)</f>
        <v>1853</v>
      </c>
      <c r="D11" s="41">
        <f>VLOOKUP($A11,'Bidding Load'!$A$5:$E$16,MATCH(D$6,'Bidding Load'!$A$4:$E$4,0),FALSE)</f>
        <v>28447</v>
      </c>
      <c r="E11" s="41">
        <f>VLOOKUP($A11,'Bidding Load'!$A$5:$E$16,MATCH(E$6,'Bidding Load'!$A$4:$E$4,0),FALSE)</f>
        <v>0</v>
      </c>
      <c r="F11" s="54"/>
      <c r="G11" s="54"/>
      <c r="H11" s="54"/>
      <c r="I11" s="59" t="s">
        <v>44</v>
      </c>
      <c r="J11" s="56">
        <f t="shared" si="0"/>
        <v>0</v>
      </c>
      <c r="K11" s="56">
        <f t="shared" si="1"/>
        <v>0</v>
      </c>
      <c r="L11" s="56">
        <f t="shared" si="1"/>
        <v>0</v>
      </c>
      <c r="M11" s="40" t="s">
        <v>44</v>
      </c>
      <c r="N11" s="56">
        <f t="shared" si="2"/>
        <v>0</v>
      </c>
    </row>
    <row r="12" spans="1:14" s="27" customFormat="1" ht="12.75" x14ac:dyDescent="0.2">
      <c r="A12" s="36" t="str">
        <f>IF('Instructions &amp; Summary'!$E$4="1H","June","December")</f>
        <v>December</v>
      </c>
      <c r="B12" s="41">
        <f>VLOOKUP($A12,'Bidding Load'!$A$5:$E$16,MATCH(B$6,'Bidding Load'!$A$4:$E$4,0),FALSE)</f>
        <v>12418</v>
      </c>
      <c r="C12" s="41">
        <f>VLOOKUP($A12,'Bidding Load'!$A$5:$E$16,MATCH(C$6,'Bidding Load'!$A$4:$E$4,0),FALSE)</f>
        <v>1850</v>
      </c>
      <c r="D12" s="41">
        <f>VLOOKUP($A12,'Bidding Load'!$A$5:$E$16,MATCH(D$6,'Bidding Load'!$A$4:$E$4,0),FALSE)</f>
        <v>43306</v>
      </c>
      <c r="E12" s="41">
        <f>VLOOKUP($A12,'Bidding Load'!$A$5:$E$16,MATCH(E$6,'Bidding Load'!$A$4:$E$4,0),FALSE)</f>
        <v>0</v>
      </c>
      <c r="F12" s="54"/>
      <c r="G12" s="54"/>
      <c r="H12" s="54"/>
      <c r="I12" s="59" t="s">
        <v>44</v>
      </c>
      <c r="J12" s="56">
        <f t="shared" si="0"/>
        <v>0</v>
      </c>
      <c r="K12" s="56">
        <f t="shared" si="1"/>
        <v>0</v>
      </c>
      <c r="L12" s="56">
        <f t="shared" si="1"/>
        <v>0</v>
      </c>
      <c r="M12" s="40" t="s">
        <v>44</v>
      </c>
      <c r="N12" s="56">
        <f t="shared" si="2"/>
        <v>0</v>
      </c>
    </row>
    <row r="13" spans="1:14" x14ac:dyDescent="0.25">
      <c r="A13" s="39" t="s">
        <v>45</v>
      </c>
      <c r="B13" s="42">
        <f>SUM(B7:B12)</f>
        <v>77533</v>
      </c>
      <c r="C13" s="42">
        <f>SUM(C7:C12)</f>
        <v>11946</v>
      </c>
      <c r="D13" s="42">
        <f>SUM(D7:D12)</f>
        <v>242338</v>
      </c>
      <c r="E13" s="42">
        <f>SUM(E7:E12)</f>
        <v>0</v>
      </c>
      <c r="F13" s="37" t="s">
        <v>44</v>
      </c>
      <c r="G13" s="37" t="s">
        <v>44</v>
      </c>
      <c r="H13" s="37" t="s">
        <v>44</v>
      </c>
      <c r="I13" s="37" t="s">
        <v>44</v>
      </c>
      <c r="J13" s="58">
        <f>SUM(J7:J12)</f>
        <v>0</v>
      </c>
      <c r="K13" s="58">
        <f>SUM(K7:K12)</f>
        <v>0</v>
      </c>
      <c r="L13" s="58">
        <f>SUM(L7:L12)</f>
        <v>0</v>
      </c>
      <c r="M13" s="37" t="s">
        <v>44</v>
      </c>
      <c r="N13" s="58">
        <f>SUM(N7:N12)</f>
        <v>0</v>
      </c>
    </row>
    <row r="15" spans="1:14" x14ac:dyDescent="0.25">
      <c r="A15" s="39" t="s">
        <v>56</v>
      </c>
      <c r="B15" s="43">
        <f>SUM(B13:E13)</f>
        <v>331817</v>
      </c>
    </row>
    <row r="16" spans="1:14" x14ac:dyDescent="0.25">
      <c r="G16" s="5"/>
    </row>
    <row r="17" spans="1:256" x14ac:dyDescent="0.25">
      <c r="A17" s="108" t="s">
        <v>14</v>
      </c>
      <c r="B17" s="112" t="s">
        <v>53</v>
      </c>
      <c r="C17" s="112"/>
      <c r="D17" s="112"/>
      <c r="E17" s="112"/>
      <c r="F17" s="112" t="s">
        <v>54</v>
      </c>
      <c r="G17" s="112"/>
      <c r="H17" s="112"/>
      <c r="I17" s="112"/>
      <c r="J17" s="98" t="s">
        <v>55</v>
      </c>
      <c r="K17" s="99"/>
      <c r="L17" s="99"/>
      <c r="M17" s="99"/>
      <c r="N17" s="100"/>
    </row>
    <row r="18" spans="1:256" s="27" customFormat="1" ht="12.75" x14ac:dyDescent="0.2">
      <c r="A18" s="108"/>
      <c r="B18" s="38" t="s">
        <v>41</v>
      </c>
      <c r="C18" s="38" t="s">
        <v>42</v>
      </c>
      <c r="D18" s="38" t="s">
        <v>15</v>
      </c>
      <c r="E18" s="38" t="s">
        <v>43</v>
      </c>
      <c r="F18" s="38" t="s">
        <v>41</v>
      </c>
      <c r="G18" s="38" t="s">
        <v>42</v>
      </c>
      <c r="H18" s="38" t="s">
        <v>15</v>
      </c>
      <c r="I18" s="38" t="s">
        <v>43</v>
      </c>
      <c r="J18" s="38" t="s">
        <v>41</v>
      </c>
      <c r="K18" s="38" t="s">
        <v>42</v>
      </c>
      <c r="L18" s="38" t="s">
        <v>15</v>
      </c>
      <c r="M18" s="38" t="s">
        <v>43</v>
      </c>
      <c r="N18" s="44" t="s">
        <v>9</v>
      </c>
    </row>
    <row r="19" spans="1:256" s="27" customFormat="1" ht="12.75" x14ac:dyDescent="0.2">
      <c r="A19" s="36" t="str">
        <f>IF('Instructions &amp; Summary'!$E$4="1H","January","July")</f>
        <v>July</v>
      </c>
      <c r="B19" s="41">
        <f>VLOOKUP($A19,'Bidding Load'!$A$21:$E$32,MATCH(B$18,'Bidding Load'!$A$20:$E$20,0),FALSE)</f>
        <v>32078</v>
      </c>
      <c r="C19" s="41">
        <f>VLOOKUP($A19,'Bidding Load'!$A$21:$E$32,MATCH(C$18,'Bidding Load'!$A$20:$E$20,0),FALSE)</f>
        <v>6426</v>
      </c>
      <c r="D19" s="41">
        <f>VLOOKUP($A19,'Bidding Load'!$A$21:$E$32,MATCH(D$18,'Bidding Load'!$A$20:$E$20,0),FALSE)</f>
        <v>141339</v>
      </c>
      <c r="E19" s="41">
        <f>VLOOKUP($A19,'Bidding Load'!$A$21:$E$32,MATCH(E$18,'Bidding Load'!$A$20:$E$20,0),FALSE)</f>
        <v>345</v>
      </c>
      <c r="F19" s="54"/>
      <c r="G19" s="54"/>
      <c r="H19" s="54"/>
      <c r="I19" s="54"/>
      <c r="J19" s="56">
        <f t="shared" ref="J19:J24" si="3">ROUND(F19,2)*B19</f>
        <v>0</v>
      </c>
      <c r="K19" s="56">
        <f t="shared" ref="K19:M24" si="4">ROUND(G19,2)*C19</f>
        <v>0</v>
      </c>
      <c r="L19" s="56">
        <f t="shared" si="4"/>
        <v>0</v>
      </c>
      <c r="M19" s="56">
        <f t="shared" si="4"/>
        <v>0</v>
      </c>
      <c r="N19" s="56">
        <f t="shared" ref="N19:N24" si="5">SUM(J19:M19)</f>
        <v>0</v>
      </c>
    </row>
    <row r="20" spans="1:256" s="27" customFormat="1" ht="12.75" x14ac:dyDescent="0.2">
      <c r="A20" s="36" t="str">
        <f>IF('Instructions &amp; Summary'!$E$4="1H","February","August")</f>
        <v>August</v>
      </c>
      <c r="B20" s="41">
        <f>VLOOKUP($A20,'Bidding Load'!$A$21:$E$32,MATCH(B$18,'Bidding Load'!$A$20:$E$20,0),FALSE)</f>
        <v>28153</v>
      </c>
      <c r="C20" s="41">
        <f>VLOOKUP($A20,'Bidding Load'!$A$21:$E$32,MATCH(C$18,'Bidding Load'!$A$20:$E$20,0),FALSE)</f>
        <v>5949</v>
      </c>
      <c r="D20" s="41">
        <f>VLOOKUP($A20,'Bidding Load'!$A$21:$E$32,MATCH(D$18,'Bidding Load'!$A$20:$E$20,0),FALSE)</f>
        <v>123941</v>
      </c>
      <c r="E20" s="41">
        <f>VLOOKUP($A20,'Bidding Load'!$A$21:$E$32,MATCH(E$18,'Bidding Load'!$A$20:$E$20,0),FALSE)</f>
        <v>367</v>
      </c>
      <c r="F20" s="54"/>
      <c r="G20" s="54"/>
      <c r="H20" s="54"/>
      <c r="I20" s="54"/>
      <c r="J20" s="56">
        <f t="shared" si="3"/>
        <v>0</v>
      </c>
      <c r="K20" s="56">
        <f t="shared" si="4"/>
        <v>0</v>
      </c>
      <c r="L20" s="56">
        <f t="shared" si="4"/>
        <v>0</v>
      </c>
      <c r="M20" s="56">
        <f t="shared" si="4"/>
        <v>0</v>
      </c>
      <c r="N20" s="56">
        <f t="shared" si="5"/>
        <v>0</v>
      </c>
    </row>
    <row r="21" spans="1:256" s="27" customFormat="1" ht="12.75" x14ac:dyDescent="0.2">
      <c r="A21" s="36" t="str">
        <f>IF('Instructions &amp; Summary'!$E$4="1H","March","September")</f>
        <v>September</v>
      </c>
      <c r="B21" s="41">
        <f>VLOOKUP($A21,'Bidding Load'!$A$21:$E$32,MATCH(B$18,'Bidding Load'!$A$20:$E$20,0),FALSE)</f>
        <v>25978</v>
      </c>
      <c r="C21" s="41">
        <f>VLOOKUP($A21,'Bidding Load'!$A$21:$E$32,MATCH(C$18,'Bidding Load'!$A$20:$E$20,0),FALSE)</f>
        <v>5498</v>
      </c>
      <c r="D21" s="41">
        <f>VLOOKUP($A21,'Bidding Load'!$A$21:$E$32,MATCH(D$18,'Bidding Load'!$A$20:$E$20,0),FALSE)</f>
        <v>96191</v>
      </c>
      <c r="E21" s="41">
        <f>VLOOKUP($A21,'Bidding Load'!$A$21:$E$32,MATCH(E$18,'Bidding Load'!$A$20:$E$20,0),FALSE)</f>
        <v>460</v>
      </c>
      <c r="F21" s="54"/>
      <c r="G21" s="54"/>
      <c r="H21" s="54"/>
      <c r="I21" s="54"/>
      <c r="J21" s="56">
        <f t="shared" si="3"/>
        <v>0</v>
      </c>
      <c r="K21" s="56">
        <f t="shared" si="4"/>
        <v>0</v>
      </c>
      <c r="L21" s="56">
        <f t="shared" si="4"/>
        <v>0</v>
      </c>
      <c r="M21" s="56">
        <f t="shared" si="4"/>
        <v>0</v>
      </c>
      <c r="N21" s="56">
        <f t="shared" si="5"/>
        <v>0</v>
      </c>
    </row>
    <row r="22" spans="1:256" s="27" customFormat="1" ht="12.75" x14ac:dyDescent="0.2">
      <c r="A22" s="36" t="str">
        <f>IF('Instructions &amp; Summary'!$E$4="1H","April","October")</f>
        <v>October</v>
      </c>
      <c r="B22" s="41">
        <f>VLOOKUP($A22,'Bidding Load'!$A$21:$E$32,MATCH(B$18,'Bidding Load'!$A$20:$E$20,0),FALSE)</f>
        <v>26714</v>
      </c>
      <c r="C22" s="41">
        <f>VLOOKUP($A22,'Bidding Load'!$A$21:$E$32,MATCH(C$18,'Bidding Load'!$A$20:$E$20,0),FALSE)</f>
        <v>6162</v>
      </c>
      <c r="D22" s="41">
        <f>VLOOKUP($A22,'Bidding Load'!$A$21:$E$32,MATCH(D$18,'Bidding Load'!$A$20:$E$20,0),FALSE)</f>
        <v>81753</v>
      </c>
      <c r="E22" s="41">
        <f>VLOOKUP($A22,'Bidding Load'!$A$21:$E$32,MATCH(E$18,'Bidding Load'!$A$20:$E$20,0),FALSE)</f>
        <v>665</v>
      </c>
      <c r="F22" s="54"/>
      <c r="G22" s="54"/>
      <c r="H22" s="54"/>
      <c r="I22" s="54"/>
      <c r="J22" s="56">
        <f t="shared" si="3"/>
        <v>0</v>
      </c>
      <c r="K22" s="56">
        <f t="shared" si="4"/>
        <v>0</v>
      </c>
      <c r="L22" s="56">
        <f t="shared" si="4"/>
        <v>0</v>
      </c>
      <c r="M22" s="56">
        <f t="shared" si="4"/>
        <v>0</v>
      </c>
      <c r="N22" s="56">
        <f t="shared" si="5"/>
        <v>0</v>
      </c>
    </row>
    <row r="23" spans="1:256" s="27" customFormat="1" ht="12.75" x14ac:dyDescent="0.2">
      <c r="A23" s="36" t="str">
        <f>IF('Instructions &amp; Summary'!$E$4="1H","May","November")</f>
        <v>November</v>
      </c>
      <c r="B23" s="41">
        <f>VLOOKUP($A23,'Bidding Load'!$A$21:$E$32,MATCH(B$18,'Bidding Load'!$A$20:$E$20,0),FALSE)</f>
        <v>27893</v>
      </c>
      <c r="C23" s="41">
        <f>VLOOKUP($A23,'Bidding Load'!$A$21:$E$32,MATCH(C$18,'Bidding Load'!$A$20:$E$20,0),FALSE)</f>
        <v>6295</v>
      </c>
      <c r="D23" s="41">
        <f>VLOOKUP($A23,'Bidding Load'!$A$21:$E$32,MATCH(D$18,'Bidding Load'!$A$20:$E$20,0),FALSE)</f>
        <v>91157</v>
      </c>
      <c r="E23" s="41">
        <f>VLOOKUP($A23,'Bidding Load'!$A$21:$E$32,MATCH(E$18,'Bidding Load'!$A$20:$E$20,0),FALSE)</f>
        <v>786</v>
      </c>
      <c r="F23" s="54"/>
      <c r="G23" s="54"/>
      <c r="H23" s="54"/>
      <c r="I23" s="54"/>
      <c r="J23" s="56">
        <f t="shared" si="3"/>
        <v>0</v>
      </c>
      <c r="K23" s="56">
        <f t="shared" si="4"/>
        <v>0</v>
      </c>
      <c r="L23" s="56">
        <f t="shared" si="4"/>
        <v>0</v>
      </c>
      <c r="M23" s="56">
        <f t="shared" si="4"/>
        <v>0</v>
      </c>
      <c r="N23" s="56">
        <f t="shared" si="5"/>
        <v>0</v>
      </c>
    </row>
    <row r="24" spans="1:256" s="27" customFormat="1" ht="12.75" x14ac:dyDescent="0.2">
      <c r="A24" s="36" t="str">
        <f>IF('Instructions &amp; Summary'!$E$4="1H","June","December")</f>
        <v>December</v>
      </c>
      <c r="B24" s="41">
        <f>VLOOKUP($A24,'Bidding Load'!$A$21:$E$32,MATCH(B$18,'Bidding Load'!$A$20:$E$20,0),FALSE)</f>
        <v>28948</v>
      </c>
      <c r="C24" s="41">
        <f>VLOOKUP($A24,'Bidding Load'!$A$21:$E$32,MATCH(C$18,'Bidding Load'!$A$20:$E$20,0),FALSE)</f>
        <v>5445</v>
      </c>
      <c r="D24" s="41">
        <f>VLOOKUP($A24,'Bidding Load'!$A$21:$E$32,MATCH(D$18,'Bidding Load'!$A$20:$E$20,0),FALSE)</f>
        <v>118265</v>
      </c>
      <c r="E24" s="41">
        <f>VLOOKUP($A24,'Bidding Load'!$A$21:$E$32,MATCH(E$18,'Bidding Load'!$A$20:$E$20,0),FALSE)</f>
        <v>724</v>
      </c>
      <c r="F24" s="54"/>
      <c r="G24" s="54"/>
      <c r="H24" s="54"/>
      <c r="I24" s="54"/>
      <c r="J24" s="56">
        <f t="shared" si="3"/>
        <v>0</v>
      </c>
      <c r="K24" s="56">
        <f t="shared" si="4"/>
        <v>0</v>
      </c>
      <c r="L24" s="56">
        <f t="shared" si="4"/>
        <v>0</v>
      </c>
      <c r="M24" s="56">
        <f t="shared" si="4"/>
        <v>0</v>
      </c>
      <c r="N24" s="56">
        <f t="shared" si="5"/>
        <v>0</v>
      </c>
    </row>
    <row r="25" spans="1:256" x14ac:dyDescent="0.25">
      <c r="A25" s="39" t="s">
        <v>45</v>
      </c>
      <c r="B25" s="42">
        <f>SUM(B19:B24)</f>
        <v>169764</v>
      </c>
      <c r="C25" s="42">
        <f>SUM(C19:C24)</f>
        <v>35775</v>
      </c>
      <c r="D25" s="42">
        <f>SUM(D19:D24)</f>
        <v>652646</v>
      </c>
      <c r="E25" s="42">
        <f>SUM(E19:E24)</f>
        <v>3347</v>
      </c>
      <c r="F25" s="37" t="s">
        <v>44</v>
      </c>
      <c r="G25" s="37" t="s">
        <v>44</v>
      </c>
      <c r="H25" s="37" t="s">
        <v>44</v>
      </c>
      <c r="I25" s="37" t="s">
        <v>44</v>
      </c>
      <c r="J25" s="58">
        <f>SUM(J19:J24)</f>
        <v>0</v>
      </c>
      <c r="K25" s="58">
        <f>SUM(K19:K24)</f>
        <v>0</v>
      </c>
      <c r="L25" s="58">
        <f>SUM(L19:L24)</f>
        <v>0</v>
      </c>
      <c r="M25" s="58">
        <f>SUM(M19:M24)</f>
        <v>0</v>
      </c>
      <c r="N25" s="58">
        <f>SUM(N19:N24)</f>
        <v>0</v>
      </c>
      <c r="O25" s="28"/>
      <c r="P25" s="29"/>
      <c r="Q25" s="29"/>
      <c r="R25" s="29"/>
      <c r="S25" s="29"/>
      <c r="T25" s="28"/>
      <c r="U25" s="3"/>
      <c r="V25" s="3"/>
      <c r="W25" s="3"/>
      <c r="X25" s="30"/>
      <c r="Y25" s="30"/>
      <c r="Z25" s="30"/>
      <c r="AA25" s="31"/>
      <c r="AB25" s="30"/>
      <c r="AC25" s="28"/>
      <c r="AD25" s="29"/>
      <c r="AE25" s="29"/>
      <c r="AF25" s="29"/>
      <c r="AG25" s="29"/>
      <c r="AH25" s="28"/>
      <c r="AI25" s="3"/>
      <c r="AJ25" s="3"/>
      <c r="AK25" s="3"/>
      <c r="AL25" s="30"/>
      <c r="AM25" s="30"/>
      <c r="AN25" s="30"/>
      <c r="AO25" s="31"/>
      <c r="AP25" s="30"/>
      <c r="AQ25" s="28"/>
      <c r="AR25" s="29"/>
      <c r="AS25" s="29"/>
      <c r="AT25" s="29"/>
      <c r="AU25" s="29"/>
      <c r="AV25" s="28"/>
      <c r="AW25" s="3"/>
      <c r="AX25" s="3"/>
      <c r="AY25" s="3"/>
      <c r="AZ25" s="30"/>
      <c r="BA25" s="30"/>
      <c r="BB25" s="30"/>
      <c r="BC25" s="31"/>
      <c r="BD25" s="30"/>
      <c r="BE25" s="28"/>
      <c r="BF25" s="29"/>
      <c r="BG25" s="29"/>
      <c r="BH25" s="29"/>
      <c r="BI25" s="29"/>
      <c r="BJ25" s="28"/>
      <c r="BK25" s="3"/>
      <c r="BL25" s="3"/>
      <c r="BM25" s="3"/>
      <c r="BN25" s="30"/>
      <c r="BO25" s="30"/>
      <c r="BP25" s="30"/>
      <c r="BQ25" s="31"/>
      <c r="BR25" s="30"/>
      <c r="BS25" s="28"/>
      <c r="BT25" s="29"/>
      <c r="BU25" s="29"/>
      <c r="BV25" s="29"/>
      <c r="BW25" s="29"/>
      <c r="BX25" s="28"/>
      <c r="BY25" s="3"/>
      <c r="BZ25" s="3"/>
      <c r="CA25" s="3"/>
      <c r="CB25" s="30"/>
      <c r="CC25" s="30"/>
      <c r="CD25" s="30"/>
      <c r="CE25" s="31"/>
      <c r="CF25" s="30"/>
      <c r="CG25" s="28"/>
      <c r="CH25" s="29"/>
      <c r="CI25" s="29"/>
      <c r="CJ25" s="29"/>
      <c r="CK25" s="29"/>
      <c r="CL25" s="28"/>
      <c r="CM25" s="3"/>
      <c r="CN25" s="3"/>
      <c r="CO25" s="3"/>
      <c r="CP25" s="30"/>
      <c r="CQ25" s="30"/>
      <c r="CR25" s="30"/>
      <c r="CS25" s="31"/>
      <c r="CT25" s="30"/>
      <c r="CU25" s="28"/>
      <c r="CV25" s="29"/>
      <c r="CW25" s="29"/>
      <c r="CX25" s="29"/>
      <c r="CY25" s="29"/>
      <c r="CZ25" s="28"/>
      <c r="DA25" s="3"/>
      <c r="DB25" s="3"/>
      <c r="DC25" s="3"/>
      <c r="DD25" s="30"/>
      <c r="DE25" s="30"/>
      <c r="DF25" s="30"/>
      <c r="DG25" s="31"/>
      <c r="DH25" s="30"/>
      <c r="DI25" s="28"/>
      <c r="DJ25" s="29"/>
      <c r="DK25" s="29"/>
      <c r="DL25" s="29"/>
      <c r="DM25" s="29"/>
      <c r="DN25" s="28"/>
      <c r="DO25" s="3"/>
      <c r="DP25" s="3"/>
      <c r="DQ25" s="3"/>
      <c r="DR25" s="30"/>
      <c r="DS25" s="30"/>
      <c r="DT25" s="30"/>
      <c r="DU25" s="31"/>
      <c r="DV25" s="30"/>
      <c r="DW25" s="28"/>
      <c r="DX25" s="29"/>
      <c r="DY25" s="29"/>
      <c r="DZ25" s="29"/>
      <c r="EA25" s="29"/>
      <c r="EB25" s="28"/>
      <c r="EC25" s="3"/>
      <c r="ED25" s="3"/>
      <c r="EE25" s="3"/>
      <c r="EF25" s="30"/>
      <c r="EG25" s="30"/>
      <c r="EH25" s="30"/>
      <c r="EI25" s="31"/>
      <c r="EJ25" s="30"/>
      <c r="EK25" s="28"/>
      <c r="EL25" s="29"/>
      <c r="EM25" s="29"/>
      <c r="EN25" s="29"/>
      <c r="EO25" s="29"/>
      <c r="EP25" s="28"/>
      <c r="EQ25" s="3"/>
      <c r="ER25" s="3"/>
      <c r="ES25" s="3"/>
      <c r="ET25" s="30"/>
      <c r="EU25" s="30"/>
      <c r="EV25" s="30"/>
      <c r="EW25" s="31"/>
      <c r="EX25" s="30"/>
      <c r="EY25" s="28"/>
      <c r="EZ25" s="29"/>
      <c r="FA25" s="29"/>
      <c r="FB25" s="29"/>
      <c r="FC25" s="29"/>
      <c r="FD25" s="28"/>
      <c r="FE25" s="3"/>
      <c r="FF25" s="3"/>
      <c r="FG25" s="3"/>
      <c r="FH25" s="30"/>
      <c r="FI25" s="30"/>
      <c r="FJ25" s="30"/>
      <c r="FK25" s="31"/>
      <c r="FL25" s="30"/>
      <c r="FM25" s="28"/>
      <c r="FN25" s="29"/>
      <c r="FO25" s="29"/>
      <c r="FP25" s="29"/>
      <c r="FQ25" s="29"/>
      <c r="FR25" s="28"/>
      <c r="FS25" s="3"/>
      <c r="FT25" s="3"/>
      <c r="FU25" s="3"/>
      <c r="FV25" s="30"/>
      <c r="FW25" s="30"/>
      <c r="FX25" s="30"/>
      <c r="FY25" s="31"/>
      <c r="FZ25" s="30"/>
      <c r="GA25" s="28"/>
      <c r="GB25" s="29"/>
      <c r="GC25" s="29"/>
      <c r="GD25" s="29"/>
      <c r="GE25" s="29"/>
      <c r="GF25" s="28"/>
      <c r="GG25" s="3"/>
      <c r="GH25" s="3"/>
      <c r="GI25" s="3"/>
      <c r="GJ25" s="30"/>
      <c r="GK25" s="30"/>
      <c r="GL25" s="30"/>
      <c r="GM25" s="31"/>
      <c r="GN25" s="30"/>
      <c r="GO25" s="28"/>
      <c r="GP25" s="29"/>
      <c r="GQ25" s="29"/>
      <c r="GR25" s="29"/>
      <c r="GS25" s="29"/>
      <c r="GT25" s="28"/>
      <c r="GU25" s="3"/>
      <c r="GV25" s="3"/>
      <c r="GW25" s="3"/>
      <c r="GX25" s="30"/>
      <c r="GY25" s="30"/>
      <c r="GZ25" s="30"/>
      <c r="HA25" s="31"/>
      <c r="HB25" s="30"/>
      <c r="HC25" s="28"/>
      <c r="HD25" s="29"/>
      <c r="HE25" s="29"/>
      <c r="HF25" s="29"/>
      <c r="HG25" s="29"/>
      <c r="HH25" s="28"/>
      <c r="HI25" s="3"/>
      <c r="HJ25" s="3"/>
      <c r="HK25" s="3"/>
      <c r="HL25" s="30"/>
      <c r="HM25" s="30"/>
      <c r="HN25" s="30"/>
      <c r="HO25" s="31"/>
      <c r="HP25" s="30"/>
      <c r="HQ25" s="28"/>
      <c r="HR25" s="29"/>
      <c r="HS25" s="29"/>
      <c r="HT25" s="29"/>
      <c r="HU25" s="29"/>
      <c r="HV25" s="28"/>
      <c r="HW25" s="3"/>
      <c r="HX25" s="3"/>
      <c r="HY25" s="3"/>
      <c r="HZ25" s="30"/>
      <c r="IA25" s="30"/>
      <c r="IB25" s="30"/>
      <c r="IC25" s="31"/>
      <c r="ID25" s="30"/>
      <c r="IE25" s="28"/>
      <c r="IF25" s="29"/>
      <c r="IG25" s="29"/>
      <c r="IH25" s="29"/>
      <c r="II25" s="29"/>
      <c r="IJ25" s="28"/>
      <c r="IK25" s="3"/>
      <c r="IL25" s="3"/>
      <c r="IM25" s="3"/>
      <c r="IN25" s="30"/>
      <c r="IO25" s="30"/>
      <c r="IP25" s="30"/>
      <c r="IQ25" s="31"/>
      <c r="IR25" s="30"/>
      <c r="IS25" s="28"/>
      <c r="IT25" s="29"/>
      <c r="IU25" s="29"/>
      <c r="IV25" s="29"/>
    </row>
    <row r="27" spans="1:256" x14ac:dyDescent="0.25">
      <c r="A27" s="39" t="s">
        <v>57</v>
      </c>
      <c r="B27" s="43">
        <f>SUM(B25:E25)</f>
        <v>861532</v>
      </c>
      <c r="E27" s="102" t="s">
        <v>47</v>
      </c>
      <c r="F27" s="103"/>
      <c r="G27" s="103"/>
      <c r="H27" s="103"/>
      <c r="I27" s="104"/>
    </row>
    <row r="28" spans="1:256" x14ac:dyDescent="0.25">
      <c r="E28" s="50"/>
      <c r="F28" s="51"/>
      <c r="G28" s="52"/>
      <c r="H28" s="52"/>
      <c r="I28" s="53"/>
    </row>
    <row r="29" spans="1:256" x14ac:dyDescent="0.25">
      <c r="A29" s="48" t="s">
        <v>61</v>
      </c>
      <c r="B29" s="43">
        <f>B15+B27</f>
        <v>1193349</v>
      </c>
      <c r="E29" s="109" t="str">
        <f>'Instructions &amp; Summary'!$A$18</f>
        <v>SAMPLE - Bidder "X"- NOT TO BE USED FOR BID SUBMITTAL</v>
      </c>
      <c r="F29" s="110"/>
      <c r="G29" s="110"/>
      <c r="H29" s="110"/>
      <c r="I29" s="111"/>
    </row>
    <row r="30" spans="1:256" x14ac:dyDescent="0.25">
      <c r="E30" s="109" t="str">
        <f>'Instructions &amp; Summary'!$A$19</f>
        <v>Bidder "X"</v>
      </c>
      <c r="F30" s="110"/>
      <c r="G30" s="110"/>
      <c r="H30" s="110"/>
      <c r="I30" s="111"/>
    </row>
    <row r="31" spans="1:256" ht="12.75" customHeight="1" x14ac:dyDescent="0.25">
      <c r="A31" s="48" t="str">
        <f>A3</f>
        <v>UI SS Tranche 7</v>
      </c>
      <c r="B31" s="38" t="s">
        <v>62</v>
      </c>
      <c r="C31" s="38" t="s">
        <v>46</v>
      </c>
      <c r="E31" s="105" t="str">
        <f>B3</f>
        <v>July 1, 2027 through December 31, 2027 - 10% of the SS TOTAL load</v>
      </c>
      <c r="F31" s="113"/>
      <c r="G31" s="113"/>
      <c r="H31" s="113"/>
      <c r="I31" s="114"/>
    </row>
    <row r="32" spans="1:256" ht="12.75" customHeight="1" x14ac:dyDescent="0.25">
      <c r="A32" s="49" t="s">
        <v>58</v>
      </c>
      <c r="B32" s="61">
        <f>N13</f>
        <v>0</v>
      </c>
      <c r="C32" s="62">
        <f>ROUND(B32/B15,2)</f>
        <v>0</v>
      </c>
    </row>
    <row r="33" spans="1:8" ht="12.75" customHeight="1" x14ac:dyDescent="0.25">
      <c r="A33" s="49" t="s">
        <v>59</v>
      </c>
      <c r="B33" s="61">
        <f>N25</f>
        <v>0</v>
      </c>
      <c r="C33" s="62">
        <f>ROUND(B33/B27,2)</f>
        <v>0</v>
      </c>
      <c r="D33" s="7"/>
    </row>
    <row r="34" spans="1:8" ht="12.75" customHeight="1" x14ac:dyDescent="0.25">
      <c r="A34" s="55" t="s">
        <v>60</v>
      </c>
      <c r="B34" s="63">
        <f>SUM(B32:B33)</f>
        <v>0</v>
      </c>
      <c r="C34" s="64">
        <f>ROUND(B34/B29,2)</f>
        <v>0</v>
      </c>
    </row>
    <row r="35" spans="1:8" ht="30" customHeight="1" x14ac:dyDescent="0.25">
      <c r="A35" s="45"/>
      <c r="B35" s="46"/>
      <c r="C35" s="47"/>
    </row>
    <row r="36" spans="1:8" x14ac:dyDescent="0.25">
      <c r="A36" s="45"/>
      <c r="B36" s="46"/>
      <c r="C36" s="47"/>
      <c r="H36" s="32"/>
    </row>
  </sheetData>
  <sheetProtection algorithmName="SHA-512" hashValue="YK/mWNe1ML7fH97yXVdJqGT+ZQnE9mLngVrF0O2W1o9TNPQXg7dsLoVk3DhGXMXwnKltycCpWZKi0sANwh4abg==" saltValue="FbA7Wb8nmQpk29qPcy5Wuw==" spinCount="100000" sheet="1" objects="1" scenarios="1"/>
  <mergeCells count="13">
    <mergeCell ref="A1:N1"/>
    <mergeCell ref="J17:N17"/>
    <mergeCell ref="E27:I27"/>
    <mergeCell ref="A5:A6"/>
    <mergeCell ref="B5:E5"/>
    <mergeCell ref="F5:I5"/>
    <mergeCell ref="J5:N5"/>
    <mergeCell ref="E29:I29"/>
    <mergeCell ref="E30:I30"/>
    <mergeCell ref="E31:I31"/>
    <mergeCell ref="A17:A18"/>
    <mergeCell ref="B17:E17"/>
    <mergeCell ref="F17:I17"/>
  </mergeCells>
  <pageMargins left="0.7" right="0.7" top="0.75" bottom="0.75" header="0.3" footer="0.3"/>
  <pageSetup scale="57" fitToHeight="0" orientation="landscape" r:id="rId1"/>
  <headerFooter>
    <oddHeader xml:space="preserve">&amp;L&amp;"Arial,Bold"&amp;10The United Illuminating Company
Docket No: 26-01-02
&amp;C&amp;"Arial,Bold"&amp;10CONFIDENTIAL
&amp;A&amp;R&amp;"Arial,Bold"&amp;10UI Attachment 2a
Page 9 of 12
</oddHeader>
  </headerFooter>
</worksheet>
</file>

<file path=docMetadata/LabelInfo.xml><?xml version="1.0" encoding="utf-8"?>
<clbl:labelList xmlns:clbl="http://schemas.microsoft.com/office/2020/mipLabelMetadata">
  <clbl:label id="{624b1752-a977-4927-b9e6-e48a43684aee}" enabled="1" method="Privileged" siteId="{031a09bc-a2bf-44df-888e-4e09355b7a2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Instructions &amp; Summary</vt:lpstr>
      <vt:lpstr>Bidding Load</vt:lpstr>
      <vt:lpstr>Tranche 1</vt:lpstr>
      <vt:lpstr>Tranche 2</vt:lpstr>
      <vt:lpstr>Tranche 3</vt:lpstr>
      <vt:lpstr>Tranche 4</vt:lpstr>
      <vt:lpstr>Tranche 5</vt:lpstr>
      <vt:lpstr>Tranche 6</vt:lpstr>
      <vt:lpstr>Tranche 7</vt:lpstr>
      <vt:lpstr>Tranche 8</vt:lpstr>
      <vt:lpstr>Tranche_8</vt:lpstr>
      <vt:lpstr>T1 Confirm</vt:lpstr>
      <vt:lpstr>T2 Confirm</vt:lpstr>
      <vt:lpstr>'Bidding Load'!Print_Area</vt:lpstr>
      <vt:lpstr>'Instructions &amp; Summary'!Print_Area</vt:lpstr>
      <vt:lpstr>'Tranche 1'!Print_Area</vt:lpstr>
      <vt:lpstr>'Tranche 2'!Print_Area</vt:lpstr>
      <vt:lpstr>'Tranche 3'!Print_Area</vt:lpstr>
      <vt:lpstr>'Tranche 4'!Print_Area</vt:lpstr>
      <vt:lpstr>'Tranche 5'!Print_Area</vt:lpstr>
      <vt:lpstr>'Tranche 6'!Print_Area</vt:lpstr>
      <vt:lpstr>'Tranche 7'!Print_Area</vt:lpstr>
      <vt:lpstr>'Tranche 8'!Print_Area</vt:lpstr>
      <vt:lpstr>Tranche_8!Print_Area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T Slovin</dc:creator>
  <cp:lastModifiedBy>JENNIFER PAPKE</cp:lastModifiedBy>
  <cp:lastPrinted>2026-06-15T12:50:12Z</cp:lastPrinted>
  <dcterms:created xsi:type="dcterms:W3CDTF">2021-08-31T15:14:23Z</dcterms:created>
  <dcterms:modified xsi:type="dcterms:W3CDTF">2026-06-15T14:20:22Z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{81B5EF08-E22D-48E7-8244-739B2E188367}</vt:lpwstr>
  </property>
  <property fmtid="{D5CDD505-2E9C-101B-9397-08002B2CF9AE}" pid="3" name="MSIP_Label_624b1752-a977-4927-b9e6-e48a43684aee_Enabled">
    <vt:lpwstr>true</vt:lpwstr>
  </property>
  <property fmtid="{D5CDD505-2E9C-101B-9397-08002B2CF9AE}" pid="4" name="MSIP_Label_624b1752-a977-4927-b9e6-e48a43684aee_SetDate">
    <vt:lpwstr>2024-03-11T17:16:22Z</vt:lpwstr>
  </property>
  <property fmtid="{D5CDD505-2E9C-101B-9397-08002B2CF9AE}" pid="5" name="MSIP_Label_624b1752-a977-4927-b9e6-e48a43684aee_Method">
    <vt:lpwstr>Privileged</vt:lpwstr>
  </property>
  <property fmtid="{D5CDD505-2E9C-101B-9397-08002B2CF9AE}" pid="6" name="MSIP_Label_624b1752-a977-4927-b9e6-e48a43684aee_Name">
    <vt:lpwstr>Public</vt:lpwstr>
  </property>
  <property fmtid="{D5CDD505-2E9C-101B-9397-08002B2CF9AE}" pid="7" name="MSIP_Label_624b1752-a977-4927-b9e6-e48a43684aee_SiteId">
    <vt:lpwstr>031a09bc-a2bf-44df-888e-4e09355b7a24</vt:lpwstr>
  </property>
  <property fmtid="{D5CDD505-2E9C-101B-9397-08002B2CF9AE}" pid="8" name="MSIP_Label_624b1752-a977-4927-b9e6-e48a43684aee_ActionId">
    <vt:lpwstr>2111c9eb-3876-4209-bc11-e37dc806e52c</vt:lpwstr>
  </property>
  <property fmtid="{D5CDD505-2E9C-101B-9397-08002B2CF9AE}" pid="9" name="MSIP_Label_624b1752-a977-4927-b9e6-e48a43684aee_ContentBits">
    <vt:lpwstr>0</vt:lpwstr>
  </property>
</Properties>
</file>